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262.000032922023-74 - DESCONTRUÇÃO ITUTINGA PILÕES\EDITAL\"/>
    </mc:Choice>
  </mc:AlternateContent>
  <xr:revisionPtr revIDLastSave="0" documentId="8_{F2DB8299-AD41-41F1-82D1-26DD67119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osição dos serv" sheetId="1" r:id="rId1"/>
    <sheet name="PESM Itutinga Piloes pt1" sheetId="2" r:id="rId2"/>
    <sheet name="PESM Itutinga Piloes pt2" sheetId="3" r:id="rId3"/>
    <sheet name="Resumo Unit" sheetId="4" r:id="rId4"/>
    <sheet name="Resumo Geral" sheetId="5" r:id="rId5"/>
    <sheet name="calculo BDI" sheetId="6" r:id="rId6"/>
    <sheet name="Cronograma" sheetId="7" r:id="rId7"/>
  </sheets>
  <externalReferences>
    <externalReference r:id="rId8"/>
  </externalReferences>
  <definedNames>
    <definedName name="_xlnm._FilterDatabase" localSheetId="1" hidden="1">'PESM Itutinga Piloes pt1'!$H$1:$H$677</definedName>
    <definedName name="_xlnm._FilterDatabase" localSheetId="2" hidden="1">'PESM Itutinga Piloes pt2'!$H$1:$H$677</definedName>
  </definedNames>
  <calcPr calcId="191029"/>
</workbook>
</file>

<file path=xl/calcChain.xml><?xml version="1.0" encoding="utf-8"?>
<calcChain xmlns="http://schemas.openxmlformats.org/spreadsheetml/2006/main">
  <c r="H7" i="1" l="1"/>
  <c r="H9" i="1"/>
  <c r="H11" i="1"/>
  <c r="H14" i="1"/>
  <c r="H13" i="1"/>
  <c r="H17" i="1"/>
  <c r="H16" i="1"/>
  <c r="H21" i="1"/>
  <c r="H20" i="1"/>
  <c r="H19" i="1"/>
  <c r="H23" i="1"/>
  <c r="H25" i="1"/>
  <c r="H27" i="1"/>
  <c r="H64" i="1"/>
  <c r="H170" i="1"/>
  <c r="H169" i="1"/>
  <c r="H167" i="1"/>
  <c r="H166" i="1"/>
  <c r="H165" i="1"/>
  <c r="H164" i="1"/>
  <c r="H163" i="1"/>
  <c r="H161" i="1"/>
  <c r="H160" i="1"/>
  <c r="H158" i="1"/>
  <c r="H157" i="1"/>
  <c r="H156" i="1"/>
  <c r="H155" i="1"/>
  <c r="H153" i="1"/>
  <c r="H152" i="1"/>
  <c r="H151" i="1"/>
  <c r="H150" i="1"/>
  <c r="H149" i="1"/>
  <c r="H142" i="1"/>
  <c r="H141" i="1"/>
  <c r="H140" i="1"/>
  <c r="H138" i="1"/>
  <c r="H137" i="1"/>
  <c r="H136" i="1"/>
  <c r="H135" i="1"/>
  <c r="H134" i="1"/>
  <c r="H133" i="1"/>
  <c r="H131" i="1"/>
  <c r="H130" i="1"/>
  <c r="H129" i="1"/>
  <c r="H128" i="1"/>
  <c r="H127" i="1"/>
  <c r="H126" i="1"/>
  <c r="H125" i="1"/>
  <c r="H124" i="1"/>
  <c r="H122" i="1"/>
  <c r="H121" i="1"/>
  <c r="H120" i="1"/>
  <c r="H114" i="1"/>
  <c r="H113" i="1"/>
  <c r="H112" i="1"/>
  <c r="H111" i="1"/>
  <c r="H105" i="1"/>
  <c r="H104" i="1"/>
  <c r="H103" i="1"/>
  <c r="H102" i="1"/>
  <c r="H101" i="1"/>
  <c r="H100" i="1"/>
  <c r="H99" i="1"/>
  <c r="H97" i="1"/>
  <c r="H96" i="1"/>
  <c r="H95" i="1"/>
  <c r="H94" i="1"/>
  <c r="H93" i="1"/>
  <c r="H91" i="1"/>
  <c r="H90" i="1"/>
  <c r="H89" i="1"/>
  <c r="H88" i="1"/>
  <c r="H87" i="1"/>
  <c r="H86" i="1"/>
  <c r="H80" i="1"/>
  <c r="H79" i="1"/>
  <c r="H78" i="1"/>
  <c r="H76" i="1"/>
  <c r="H75" i="1"/>
  <c r="H74" i="1"/>
  <c r="H72" i="1"/>
  <c r="H71" i="1"/>
  <c r="H70" i="1"/>
  <c r="H68" i="1"/>
  <c r="H67" i="1"/>
  <c r="H65" i="1"/>
  <c r="H63" i="1"/>
  <c r="H61" i="1"/>
  <c r="H55" i="1"/>
  <c r="H54" i="1"/>
  <c r="H53" i="1"/>
  <c r="H51" i="1"/>
  <c r="H50" i="1"/>
  <c r="H49" i="1"/>
  <c r="H48" i="1"/>
  <c r="H42" i="1"/>
  <c r="H41" i="1"/>
  <c r="H40" i="1"/>
  <c r="H39" i="1"/>
  <c r="H37" i="1"/>
  <c r="H36" i="1"/>
  <c r="A19" i="7" l="1"/>
  <c r="D3" i="7"/>
  <c r="A3" i="7"/>
  <c r="C36" i="6"/>
  <c r="C15" i="6"/>
  <c r="C14" i="6"/>
  <c r="C12" i="6"/>
  <c r="C10" i="6"/>
  <c r="C8" i="6"/>
  <c r="N1" i="5"/>
  <c r="K1" i="5"/>
  <c r="A1" i="5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C19" i="4"/>
  <c r="A19" i="4"/>
  <c r="A3" i="5" s="1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C3" i="4"/>
  <c r="A3" i="4"/>
  <c r="A2" i="5" s="1"/>
  <c r="N2" i="4"/>
  <c r="L1" i="5" s="1"/>
  <c r="D34" i="7" s="1"/>
  <c r="L2" i="4"/>
  <c r="J1" i="5" s="1"/>
  <c r="K2" i="4"/>
  <c r="I1" i="5" s="1"/>
  <c r="J2" i="4"/>
  <c r="H1" i="5" s="1"/>
  <c r="I2" i="4"/>
  <c r="G1" i="5" s="1"/>
  <c r="H2" i="4"/>
  <c r="F1" i="5" s="1"/>
  <c r="G2" i="4"/>
  <c r="E1" i="5" s="1"/>
  <c r="F2" i="4"/>
  <c r="D1" i="5" s="1"/>
  <c r="E2" i="4"/>
  <c r="C1" i="5" s="1"/>
  <c r="D2" i="4"/>
  <c r="B1" i="5" s="1"/>
  <c r="B677" i="3"/>
  <c r="A677" i="3"/>
  <c r="K676" i="3"/>
  <c r="L676" i="3" s="1"/>
  <c r="H675" i="3"/>
  <c r="D675" i="3" s="1"/>
  <c r="C675" i="3"/>
  <c r="E674" i="3"/>
  <c r="D674" i="3"/>
  <c r="C674" i="3"/>
  <c r="A674" i="3"/>
  <c r="F673" i="3"/>
  <c r="C673" i="3"/>
  <c r="F672" i="3"/>
  <c r="C672" i="3"/>
  <c r="F671" i="3"/>
  <c r="C671" i="3"/>
  <c r="F670" i="3"/>
  <c r="C670" i="3"/>
  <c r="K669" i="3"/>
  <c r="C669" i="3"/>
  <c r="A669" i="3"/>
  <c r="A673" i="3" s="1"/>
  <c r="F668" i="3"/>
  <c r="D668" i="3"/>
  <c r="C668" i="3"/>
  <c r="F667" i="3"/>
  <c r="D667" i="3"/>
  <c r="C667" i="3"/>
  <c r="F666" i="3"/>
  <c r="D666" i="3"/>
  <c r="C666" i="3"/>
  <c r="F665" i="3"/>
  <c r="D665" i="3"/>
  <c r="C665" i="3"/>
  <c r="F664" i="3"/>
  <c r="D664" i="3"/>
  <c r="C664" i="3"/>
  <c r="F663" i="3"/>
  <c r="D663" i="3"/>
  <c r="C663" i="3"/>
  <c r="F662" i="3"/>
  <c r="D662" i="3"/>
  <c r="C662" i="3"/>
  <c r="K661" i="3"/>
  <c r="L661" i="3" s="1"/>
  <c r="C661" i="3"/>
  <c r="A661" i="3"/>
  <c r="A668" i="3" s="1"/>
  <c r="F660" i="3"/>
  <c r="D660" i="3"/>
  <c r="C660" i="3"/>
  <c r="F659" i="3"/>
  <c r="D659" i="3"/>
  <c r="C659" i="3"/>
  <c r="F658" i="3"/>
  <c r="D658" i="3"/>
  <c r="C658" i="3"/>
  <c r="F657" i="3"/>
  <c r="D657" i="3"/>
  <c r="C657" i="3"/>
  <c r="K656" i="3"/>
  <c r="L656" i="3" s="1"/>
  <c r="C656" i="3"/>
  <c r="A656" i="3"/>
  <c r="A659" i="3" s="1"/>
  <c r="F655" i="3"/>
  <c r="D655" i="3"/>
  <c r="C655" i="3"/>
  <c r="K654" i="3"/>
  <c r="L654" i="3" s="1"/>
  <c r="C654" i="3"/>
  <c r="A654" i="3"/>
  <c r="A655" i="3" s="1"/>
  <c r="F653" i="3"/>
  <c r="D653" i="3"/>
  <c r="C653" i="3"/>
  <c r="F652" i="3"/>
  <c r="D652" i="3"/>
  <c r="C652" i="3"/>
  <c r="F651" i="3"/>
  <c r="D651" i="3"/>
  <c r="C651" i="3"/>
  <c r="K650" i="3"/>
  <c r="L650" i="3" s="1"/>
  <c r="C650" i="3"/>
  <c r="A650" i="3"/>
  <c r="A653" i="3" s="1"/>
  <c r="F649" i="3"/>
  <c r="D649" i="3"/>
  <c r="C649" i="3"/>
  <c r="F648" i="3"/>
  <c r="D648" i="3"/>
  <c r="C648" i="3"/>
  <c r="F647" i="3"/>
  <c r="D647" i="3"/>
  <c r="C647" i="3"/>
  <c r="D646" i="3"/>
  <c r="C646" i="3"/>
  <c r="F645" i="3"/>
  <c r="D645" i="3"/>
  <c r="C645" i="3"/>
  <c r="F644" i="3"/>
  <c r="D644" i="3"/>
  <c r="C644" i="3"/>
  <c r="K643" i="3"/>
  <c r="L643" i="3" s="1"/>
  <c r="C643" i="3"/>
  <c r="A643" i="3"/>
  <c r="A644" i="3" s="1"/>
  <c r="A645" i="3" s="1"/>
  <c r="A646" i="3" s="1"/>
  <c r="A647" i="3" s="1"/>
  <c r="A648" i="3" s="1"/>
  <c r="A649" i="3" s="1"/>
  <c r="F642" i="3"/>
  <c r="D642" i="3"/>
  <c r="C642" i="3"/>
  <c r="F641" i="3"/>
  <c r="D641" i="3"/>
  <c r="C641" i="3"/>
  <c r="K640" i="3"/>
  <c r="L640" i="3" s="1"/>
  <c r="C640" i="3"/>
  <c r="A640" i="3"/>
  <c r="A642" i="3" s="1"/>
  <c r="F639" i="3"/>
  <c r="D639" i="3"/>
  <c r="C639" i="3"/>
  <c r="F638" i="3"/>
  <c r="D638" i="3"/>
  <c r="C638" i="3"/>
  <c r="C637" i="3"/>
  <c r="A637" i="3"/>
  <c r="A639" i="3" s="1"/>
  <c r="K636" i="3"/>
  <c r="L636" i="3" s="1"/>
  <c r="K635" i="3"/>
  <c r="L635" i="3" s="1"/>
  <c r="K634" i="3"/>
  <c r="L634" i="3" s="1"/>
  <c r="B633" i="3"/>
  <c r="A633" i="3"/>
  <c r="K632" i="3"/>
  <c r="L632" i="3" s="1"/>
  <c r="H631" i="3"/>
  <c r="D631" i="3" s="1"/>
  <c r="C631" i="3"/>
  <c r="E630" i="3"/>
  <c r="D630" i="3"/>
  <c r="C630" i="3"/>
  <c r="F629" i="3"/>
  <c r="C629" i="3"/>
  <c r="F628" i="3"/>
  <c r="C628" i="3"/>
  <c r="F627" i="3"/>
  <c r="C627" i="3"/>
  <c r="F626" i="3"/>
  <c r="C626" i="3"/>
  <c r="K625" i="3"/>
  <c r="C625" i="3"/>
  <c r="A625" i="3"/>
  <c r="A630" i="3" s="1"/>
  <c r="F624" i="3"/>
  <c r="D624" i="3"/>
  <c r="C624" i="3"/>
  <c r="F623" i="3"/>
  <c r="D623" i="3"/>
  <c r="C623" i="3"/>
  <c r="F622" i="3"/>
  <c r="D622" i="3"/>
  <c r="C622" i="3"/>
  <c r="F621" i="3"/>
  <c r="D621" i="3"/>
  <c r="C621" i="3"/>
  <c r="F620" i="3"/>
  <c r="D620" i="3"/>
  <c r="C620" i="3"/>
  <c r="F619" i="3"/>
  <c r="D619" i="3"/>
  <c r="C619" i="3"/>
  <c r="F618" i="3"/>
  <c r="D618" i="3"/>
  <c r="C618" i="3"/>
  <c r="K617" i="3"/>
  <c r="L617" i="3" s="1"/>
  <c r="C617" i="3"/>
  <c r="A617" i="3"/>
  <c r="A624" i="3" s="1"/>
  <c r="F616" i="3"/>
  <c r="D616" i="3"/>
  <c r="C616" i="3"/>
  <c r="F615" i="3"/>
  <c r="D615" i="3"/>
  <c r="C615" i="3"/>
  <c r="F614" i="3"/>
  <c r="D614" i="3"/>
  <c r="C614" i="3"/>
  <c r="F613" i="3"/>
  <c r="D613" i="3"/>
  <c r="C613" i="3"/>
  <c r="K612" i="3"/>
  <c r="L612" i="3" s="1"/>
  <c r="C612" i="3"/>
  <c r="A612" i="3"/>
  <c r="A615" i="3" s="1"/>
  <c r="F611" i="3"/>
  <c r="D611" i="3"/>
  <c r="C611" i="3"/>
  <c r="K610" i="3"/>
  <c r="L610" i="3" s="1"/>
  <c r="C610" i="3"/>
  <c r="A610" i="3"/>
  <c r="A611" i="3" s="1"/>
  <c r="F609" i="3"/>
  <c r="D609" i="3"/>
  <c r="C609" i="3"/>
  <c r="F608" i="3"/>
  <c r="D608" i="3"/>
  <c r="C608" i="3"/>
  <c r="F607" i="3"/>
  <c r="D607" i="3"/>
  <c r="C607" i="3"/>
  <c r="K606" i="3"/>
  <c r="L606" i="3" s="1"/>
  <c r="C606" i="3"/>
  <c r="A606" i="3"/>
  <c r="A609" i="3" s="1"/>
  <c r="F605" i="3"/>
  <c r="D605" i="3"/>
  <c r="C605" i="3"/>
  <c r="F604" i="3"/>
  <c r="D604" i="3"/>
  <c r="C604" i="3"/>
  <c r="F603" i="3"/>
  <c r="D603" i="3"/>
  <c r="C603" i="3"/>
  <c r="D602" i="3"/>
  <c r="C602" i="3"/>
  <c r="F601" i="3"/>
  <c r="D601" i="3"/>
  <c r="C601" i="3"/>
  <c r="F600" i="3"/>
  <c r="D600" i="3"/>
  <c r="C600" i="3"/>
  <c r="K599" i="3"/>
  <c r="L599" i="3" s="1"/>
  <c r="C599" i="3"/>
  <c r="A599" i="3"/>
  <c r="A600" i="3" s="1"/>
  <c r="A601" i="3" s="1"/>
  <c r="A602" i="3" s="1"/>
  <c r="A603" i="3" s="1"/>
  <c r="A604" i="3" s="1"/>
  <c r="A605" i="3" s="1"/>
  <c r="F598" i="3"/>
  <c r="D598" i="3"/>
  <c r="C598" i="3"/>
  <c r="F597" i="3"/>
  <c r="D597" i="3"/>
  <c r="C597" i="3"/>
  <c r="L596" i="3"/>
  <c r="K596" i="3"/>
  <c r="C596" i="3"/>
  <c r="A596" i="3"/>
  <c r="A598" i="3" s="1"/>
  <c r="F595" i="3"/>
  <c r="D595" i="3"/>
  <c r="C595" i="3"/>
  <c r="F594" i="3"/>
  <c r="D594" i="3"/>
  <c r="C594" i="3"/>
  <c r="C593" i="3"/>
  <c r="A593" i="3"/>
  <c r="A595" i="3" s="1"/>
  <c r="K592" i="3"/>
  <c r="L592" i="3" s="1"/>
  <c r="K591" i="3"/>
  <c r="L591" i="3" s="1"/>
  <c r="K590" i="3"/>
  <c r="L590" i="3" s="1"/>
  <c r="B589" i="3"/>
  <c r="A589" i="3"/>
  <c r="K588" i="3"/>
  <c r="L588" i="3" s="1"/>
  <c r="H587" i="3"/>
  <c r="D587" i="3"/>
  <c r="C587" i="3"/>
  <c r="E586" i="3"/>
  <c r="D586" i="3"/>
  <c r="C586" i="3"/>
  <c r="F585" i="3"/>
  <c r="C585" i="3"/>
  <c r="C584" i="3"/>
  <c r="A584" i="3"/>
  <c r="F583" i="3"/>
  <c r="C583" i="3"/>
  <c r="F582" i="3"/>
  <c r="C582" i="3"/>
  <c r="A582" i="3"/>
  <c r="K581" i="3"/>
  <c r="C581" i="3"/>
  <c r="A581" i="3"/>
  <c r="A585" i="3" s="1"/>
  <c r="F580" i="3"/>
  <c r="D580" i="3"/>
  <c r="C580" i="3"/>
  <c r="F579" i="3"/>
  <c r="D579" i="3"/>
  <c r="C579" i="3"/>
  <c r="F578" i="3"/>
  <c r="D578" i="3"/>
  <c r="C578" i="3"/>
  <c r="F577" i="3"/>
  <c r="D577" i="3"/>
  <c r="C577" i="3"/>
  <c r="F576" i="3"/>
  <c r="D576" i="3"/>
  <c r="C576" i="3"/>
  <c r="F575" i="3"/>
  <c r="D575" i="3"/>
  <c r="C575" i="3"/>
  <c r="F574" i="3"/>
  <c r="D574" i="3"/>
  <c r="C574" i="3"/>
  <c r="K573" i="3"/>
  <c r="L573" i="3" s="1"/>
  <c r="C573" i="3"/>
  <c r="A573" i="3"/>
  <c r="A580" i="3" s="1"/>
  <c r="F572" i="3"/>
  <c r="D572" i="3"/>
  <c r="C572" i="3"/>
  <c r="F571" i="3"/>
  <c r="D571" i="3"/>
  <c r="C571" i="3"/>
  <c r="F570" i="3"/>
  <c r="D570" i="3"/>
  <c r="C570" i="3"/>
  <c r="F569" i="3"/>
  <c r="D569" i="3"/>
  <c r="C569" i="3"/>
  <c r="K568" i="3"/>
  <c r="L568" i="3" s="1"/>
  <c r="C568" i="3"/>
  <c r="A568" i="3"/>
  <c r="A571" i="3" s="1"/>
  <c r="F567" i="3"/>
  <c r="D567" i="3"/>
  <c r="C567" i="3"/>
  <c r="K566" i="3"/>
  <c r="L566" i="3" s="1"/>
  <c r="C566" i="3"/>
  <c r="A566" i="3"/>
  <c r="A567" i="3" s="1"/>
  <c r="F565" i="3"/>
  <c r="D565" i="3"/>
  <c r="C565" i="3"/>
  <c r="F564" i="3"/>
  <c r="D564" i="3"/>
  <c r="C564" i="3"/>
  <c r="F563" i="3"/>
  <c r="D563" i="3"/>
  <c r="C563" i="3"/>
  <c r="K562" i="3"/>
  <c r="L562" i="3" s="1"/>
  <c r="C562" i="3"/>
  <c r="A562" i="3"/>
  <c r="A565" i="3" s="1"/>
  <c r="F561" i="3"/>
  <c r="D561" i="3"/>
  <c r="C561" i="3"/>
  <c r="F560" i="3"/>
  <c r="D560" i="3"/>
  <c r="C560" i="3"/>
  <c r="F559" i="3"/>
  <c r="D559" i="3"/>
  <c r="C559" i="3"/>
  <c r="D558" i="3"/>
  <c r="C558" i="3"/>
  <c r="F557" i="3"/>
  <c r="D557" i="3"/>
  <c r="C557" i="3"/>
  <c r="F556" i="3"/>
  <c r="D556" i="3"/>
  <c r="C556" i="3"/>
  <c r="K555" i="3"/>
  <c r="L555" i="3" s="1"/>
  <c r="C555" i="3"/>
  <c r="A555" i="3"/>
  <c r="A556" i="3" s="1"/>
  <c r="A557" i="3" s="1"/>
  <c r="A558" i="3" s="1"/>
  <c r="A559" i="3" s="1"/>
  <c r="A560" i="3" s="1"/>
  <c r="A561" i="3" s="1"/>
  <c r="F554" i="3"/>
  <c r="D554" i="3"/>
  <c r="C554" i="3"/>
  <c r="F553" i="3"/>
  <c r="D553" i="3"/>
  <c r="C553" i="3"/>
  <c r="K552" i="3"/>
  <c r="L552" i="3" s="1"/>
  <c r="C552" i="3"/>
  <c r="A552" i="3"/>
  <c r="A554" i="3" s="1"/>
  <c r="F551" i="3"/>
  <c r="D551" i="3"/>
  <c r="C551" i="3"/>
  <c r="F550" i="3"/>
  <c r="D550" i="3"/>
  <c r="C550" i="3"/>
  <c r="C549" i="3"/>
  <c r="A549" i="3"/>
  <c r="A551" i="3" s="1"/>
  <c r="K548" i="3"/>
  <c r="L548" i="3" s="1"/>
  <c r="K547" i="3"/>
  <c r="L547" i="3" s="1"/>
  <c r="K546" i="3"/>
  <c r="L546" i="3" s="1"/>
  <c r="B545" i="3"/>
  <c r="A545" i="3"/>
  <c r="K544" i="3"/>
  <c r="L544" i="3" s="1"/>
  <c r="H543" i="3"/>
  <c r="D543" i="3"/>
  <c r="C543" i="3"/>
  <c r="E542" i="3"/>
  <c r="D542" i="3"/>
  <c r="C542" i="3"/>
  <c r="F541" i="3"/>
  <c r="C541" i="3"/>
  <c r="C540" i="3"/>
  <c r="F539" i="3"/>
  <c r="C539" i="3"/>
  <c r="F538" i="3"/>
  <c r="C538" i="3"/>
  <c r="K537" i="3"/>
  <c r="C537" i="3"/>
  <c r="A537" i="3"/>
  <c r="A542" i="3" s="1"/>
  <c r="F536" i="3"/>
  <c r="D536" i="3"/>
  <c r="C536" i="3"/>
  <c r="F535" i="3"/>
  <c r="D535" i="3"/>
  <c r="C535" i="3"/>
  <c r="F534" i="3"/>
  <c r="D534" i="3"/>
  <c r="C534" i="3"/>
  <c r="F533" i="3"/>
  <c r="D533" i="3"/>
  <c r="C533" i="3"/>
  <c r="F532" i="3"/>
  <c r="D532" i="3"/>
  <c r="C532" i="3"/>
  <c r="F531" i="3"/>
  <c r="D531" i="3"/>
  <c r="C531" i="3"/>
  <c r="F530" i="3"/>
  <c r="D530" i="3"/>
  <c r="C530" i="3"/>
  <c r="K529" i="3"/>
  <c r="L529" i="3" s="1"/>
  <c r="C529" i="3"/>
  <c r="A529" i="3"/>
  <c r="A536" i="3" s="1"/>
  <c r="F528" i="3"/>
  <c r="D528" i="3"/>
  <c r="C528" i="3"/>
  <c r="F527" i="3"/>
  <c r="D527" i="3"/>
  <c r="C527" i="3"/>
  <c r="F526" i="3"/>
  <c r="D526" i="3"/>
  <c r="C526" i="3"/>
  <c r="F525" i="3"/>
  <c r="D525" i="3"/>
  <c r="C525" i="3"/>
  <c r="K524" i="3"/>
  <c r="L524" i="3" s="1"/>
  <c r="C524" i="3"/>
  <c r="A524" i="3"/>
  <c r="A527" i="3" s="1"/>
  <c r="F523" i="3"/>
  <c r="D523" i="3"/>
  <c r="C523" i="3"/>
  <c r="K522" i="3"/>
  <c r="L522" i="3" s="1"/>
  <c r="C522" i="3"/>
  <c r="A522" i="3"/>
  <c r="A523" i="3" s="1"/>
  <c r="F521" i="3"/>
  <c r="D521" i="3"/>
  <c r="C521" i="3"/>
  <c r="F520" i="3"/>
  <c r="D520" i="3"/>
  <c r="C520" i="3"/>
  <c r="F519" i="3"/>
  <c r="D519" i="3"/>
  <c r="C519" i="3"/>
  <c r="K518" i="3"/>
  <c r="L518" i="3" s="1"/>
  <c r="C518" i="3"/>
  <c r="A518" i="3"/>
  <c r="A521" i="3" s="1"/>
  <c r="F517" i="3"/>
  <c r="D517" i="3"/>
  <c r="C517" i="3"/>
  <c r="F516" i="3"/>
  <c r="D516" i="3"/>
  <c r="C516" i="3"/>
  <c r="F515" i="3"/>
  <c r="D515" i="3"/>
  <c r="C515" i="3"/>
  <c r="D514" i="3"/>
  <c r="C514" i="3"/>
  <c r="F513" i="3"/>
  <c r="D513" i="3"/>
  <c r="C513" i="3"/>
  <c r="F512" i="3"/>
  <c r="D512" i="3"/>
  <c r="C512" i="3"/>
  <c r="K511" i="3"/>
  <c r="L511" i="3" s="1"/>
  <c r="C511" i="3"/>
  <c r="A511" i="3"/>
  <c r="A512" i="3" s="1"/>
  <c r="A513" i="3" s="1"/>
  <c r="A514" i="3" s="1"/>
  <c r="A515" i="3" s="1"/>
  <c r="A516" i="3" s="1"/>
  <c r="A517" i="3" s="1"/>
  <c r="F510" i="3"/>
  <c r="D510" i="3"/>
  <c r="C510" i="3"/>
  <c r="F509" i="3"/>
  <c r="D509" i="3"/>
  <c r="C509" i="3"/>
  <c r="K508" i="3"/>
  <c r="L508" i="3" s="1"/>
  <c r="C508" i="3"/>
  <c r="A508" i="3"/>
  <c r="A510" i="3" s="1"/>
  <c r="F507" i="3"/>
  <c r="D507" i="3"/>
  <c r="C507" i="3"/>
  <c r="F506" i="3"/>
  <c r="D506" i="3"/>
  <c r="C506" i="3"/>
  <c r="C505" i="3"/>
  <c r="A505" i="3"/>
  <c r="A507" i="3" s="1"/>
  <c r="K504" i="3"/>
  <c r="L504" i="3" s="1"/>
  <c r="K503" i="3"/>
  <c r="L503" i="3" s="1"/>
  <c r="K502" i="3"/>
  <c r="L502" i="3" s="1"/>
  <c r="B501" i="3"/>
  <c r="A501" i="3"/>
  <c r="K500" i="3"/>
  <c r="L500" i="3" s="1"/>
  <c r="H499" i="3"/>
  <c r="D499" i="3"/>
  <c r="C499" i="3"/>
  <c r="E498" i="3"/>
  <c r="D498" i="3"/>
  <c r="C498" i="3"/>
  <c r="F497" i="3"/>
  <c r="C497" i="3"/>
  <c r="C496" i="3"/>
  <c r="F495" i="3"/>
  <c r="C495" i="3"/>
  <c r="F494" i="3"/>
  <c r="C494" i="3"/>
  <c r="K493" i="3"/>
  <c r="C493" i="3"/>
  <c r="A493" i="3"/>
  <c r="F492" i="3"/>
  <c r="D492" i="3"/>
  <c r="C492" i="3"/>
  <c r="F491" i="3"/>
  <c r="D491" i="3"/>
  <c r="C491" i="3"/>
  <c r="F490" i="3"/>
  <c r="D490" i="3"/>
  <c r="C490" i="3"/>
  <c r="F489" i="3"/>
  <c r="D489" i="3"/>
  <c r="C489" i="3"/>
  <c r="F488" i="3"/>
  <c r="D488" i="3"/>
  <c r="C488" i="3"/>
  <c r="F487" i="3"/>
  <c r="D487" i="3"/>
  <c r="C487" i="3"/>
  <c r="F486" i="3"/>
  <c r="D486" i="3"/>
  <c r="C486" i="3"/>
  <c r="K485" i="3"/>
  <c r="L485" i="3" s="1"/>
  <c r="C485" i="3"/>
  <c r="A485" i="3"/>
  <c r="A491" i="3" s="1"/>
  <c r="F484" i="3"/>
  <c r="D484" i="3"/>
  <c r="C484" i="3"/>
  <c r="F483" i="3"/>
  <c r="D483" i="3"/>
  <c r="C483" i="3"/>
  <c r="F482" i="3"/>
  <c r="D482" i="3"/>
  <c r="C482" i="3"/>
  <c r="F481" i="3"/>
  <c r="D481" i="3"/>
  <c r="C481" i="3"/>
  <c r="K480" i="3"/>
  <c r="L480" i="3" s="1"/>
  <c r="C480" i="3"/>
  <c r="A480" i="3"/>
  <c r="A483" i="3" s="1"/>
  <c r="F479" i="3"/>
  <c r="D479" i="3"/>
  <c r="C479" i="3"/>
  <c r="K478" i="3"/>
  <c r="L478" i="3" s="1"/>
  <c r="C478" i="3"/>
  <c r="A478" i="3"/>
  <c r="A479" i="3" s="1"/>
  <c r="F477" i="3"/>
  <c r="D477" i="3"/>
  <c r="C477" i="3"/>
  <c r="F476" i="3"/>
  <c r="D476" i="3"/>
  <c r="C476" i="3"/>
  <c r="F475" i="3"/>
  <c r="D475" i="3"/>
  <c r="C475" i="3"/>
  <c r="K474" i="3"/>
  <c r="L474" i="3" s="1"/>
  <c r="C474" i="3"/>
  <c r="A474" i="3"/>
  <c r="A477" i="3" s="1"/>
  <c r="F473" i="3"/>
  <c r="D473" i="3"/>
  <c r="C473" i="3"/>
  <c r="F472" i="3"/>
  <c r="D472" i="3"/>
  <c r="C472" i="3"/>
  <c r="F471" i="3"/>
  <c r="D471" i="3"/>
  <c r="C471" i="3"/>
  <c r="D470" i="3"/>
  <c r="C470" i="3"/>
  <c r="F469" i="3"/>
  <c r="D469" i="3"/>
  <c r="C469" i="3"/>
  <c r="F468" i="3"/>
  <c r="D468" i="3"/>
  <c r="C468" i="3"/>
  <c r="K467" i="3"/>
  <c r="L467" i="3" s="1"/>
  <c r="C467" i="3"/>
  <c r="A467" i="3"/>
  <c r="A468" i="3" s="1"/>
  <c r="A469" i="3" s="1"/>
  <c r="A470" i="3" s="1"/>
  <c r="A471" i="3" s="1"/>
  <c r="A472" i="3" s="1"/>
  <c r="A473" i="3" s="1"/>
  <c r="F466" i="3"/>
  <c r="D466" i="3"/>
  <c r="C466" i="3"/>
  <c r="F465" i="3"/>
  <c r="D465" i="3"/>
  <c r="C465" i="3"/>
  <c r="K464" i="3"/>
  <c r="L464" i="3" s="1"/>
  <c r="C464" i="3"/>
  <c r="A464" i="3"/>
  <c r="A466" i="3" s="1"/>
  <c r="F463" i="3"/>
  <c r="D463" i="3"/>
  <c r="C463" i="3"/>
  <c r="F462" i="3"/>
  <c r="D462" i="3"/>
  <c r="C462" i="3"/>
  <c r="C461" i="3"/>
  <c r="A461" i="3"/>
  <c r="A463" i="3" s="1"/>
  <c r="K460" i="3"/>
  <c r="L460" i="3" s="1"/>
  <c r="K459" i="3"/>
  <c r="L459" i="3" s="1"/>
  <c r="K458" i="3"/>
  <c r="L458" i="3" s="1"/>
  <c r="B457" i="3"/>
  <c r="A457" i="3"/>
  <c r="K456" i="3"/>
  <c r="L456" i="3" s="1"/>
  <c r="H455" i="3"/>
  <c r="D455" i="3"/>
  <c r="C455" i="3"/>
  <c r="E454" i="3"/>
  <c r="D454" i="3"/>
  <c r="C454" i="3"/>
  <c r="F453" i="3"/>
  <c r="C453" i="3"/>
  <c r="C452" i="3"/>
  <c r="F451" i="3"/>
  <c r="C451" i="3"/>
  <c r="F450" i="3"/>
  <c r="C450" i="3"/>
  <c r="K449" i="3"/>
  <c r="C449" i="3"/>
  <c r="A449" i="3"/>
  <c r="A453" i="3" s="1"/>
  <c r="F448" i="3"/>
  <c r="D448" i="3"/>
  <c r="C448" i="3"/>
  <c r="F447" i="3"/>
  <c r="D447" i="3"/>
  <c r="C447" i="3"/>
  <c r="F446" i="3"/>
  <c r="D446" i="3"/>
  <c r="C446" i="3"/>
  <c r="F445" i="3"/>
  <c r="D445" i="3"/>
  <c r="C445" i="3"/>
  <c r="F444" i="3"/>
  <c r="D444" i="3"/>
  <c r="C444" i="3"/>
  <c r="F443" i="3"/>
  <c r="D443" i="3"/>
  <c r="C443" i="3"/>
  <c r="F442" i="3"/>
  <c r="D442" i="3"/>
  <c r="C442" i="3"/>
  <c r="K441" i="3"/>
  <c r="L441" i="3" s="1"/>
  <c r="C441" i="3"/>
  <c r="A441" i="3"/>
  <c r="F440" i="3"/>
  <c r="D440" i="3"/>
  <c r="C440" i="3"/>
  <c r="F439" i="3"/>
  <c r="D439" i="3"/>
  <c r="C439" i="3"/>
  <c r="F438" i="3"/>
  <c r="D438" i="3"/>
  <c r="C438" i="3"/>
  <c r="F437" i="3"/>
  <c r="D437" i="3"/>
  <c r="C437" i="3"/>
  <c r="K436" i="3"/>
  <c r="L436" i="3" s="1"/>
  <c r="C436" i="3"/>
  <c r="A436" i="3"/>
  <c r="A439" i="3" s="1"/>
  <c r="F435" i="3"/>
  <c r="D435" i="3"/>
  <c r="C435" i="3"/>
  <c r="K434" i="3"/>
  <c r="L434" i="3" s="1"/>
  <c r="C434" i="3"/>
  <c r="A434" i="3"/>
  <c r="A435" i="3" s="1"/>
  <c r="F433" i="3"/>
  <c r="D433" i="3"/>
  <c r="C433" i="3"/>
  <c r="F432" i="3"/>
  <c r="D432" i="3"/>
  <c r="C432" i="3"/>
  <c r="F431" i="3"/>
  <c r="D431" i="3"/>
  <c r="C431" i="3"/>
  <c r="K430" i="3"/>
  <c r="L430" i="3" s="1"/>
  <c r="C430" i="3"/>
  <c r="A430" i="3"/>
  <c r="A433" i="3" s="1"/>
  <c r="F429" i="3"/>
  <c r="D429" i="3"/>
  <c r="C429" i="3"/>
  <c r="F428" i="3"/>
  <c r="D428" i="3"/>
  <c r="C428" i="3"/>
  <c r="F427" i="3"/>
  <c r="D427" i="3"/>
  <c r="C427" i="3"/>
  <c r="D426" i="3"/>
  <c r="C426" i="3"/>
  <c r="F425" i="3"/>
  <c r="D425" i="3"/>
  <c r="C425" i="3"/>
  <c r="F424" i="3"/>
  <c r="D424" i="3"/>
  <c r="C424" i="3"/>
  <c r="K423" i="3"/>
  <c r="L423" i="3" s="1"/>
  <c r="C423" i="3"/>
  <c r="A423" i="3"/>
  <c r="A424" i="3" s="1"/>
  <c r="A425" i="3" s="1"/>
  <c r="A426" i="3" s="1"/>
  <c r="A427" i="3" s="1"/>
  <c r="A428" i="3" s="1"/>
  <c r="A429" i="3" s="1"/>
  <c r="F422" i="3"/>
  <c r="D422" i="3"/>
  <c r="C422" i="3"/>
  <c r="F421" i="3"/>
  <c r="D421" i="3"/>
  <c r="C421" i="3"/>
  <c r="L420" i="3"/>
  <c r="K420" i="3"/>
  <c r="C420" i="3"/>
  <c r="A420" i="3"/>
  <c r="A422" i="3" s="1"/>
  <c r="F419" i="3"/>
  <c r="D419" i="3"/>
  <c r="C419" i="3"/>
  <c r="F418" i="3"/>
  <c r="D418" i="3"/>
  <c r="C418" i="3"/>
  <c r="C417" i="3"/>
  <c r="A417" i="3"/>
  <c r="A419" i="3" s="1"/>
  <c r="L416" i="3"/>
  <c r="K416" i="3"/>
  <c r="K415" i="3"/>
  <c r="L415" i="3" s="1"/>
  <c r="K414" i="3"/>
  <c r="L414" i="3" s="1"/>
  <c r="B413" i="3"/>
  <c r="A413" i="3"/>
  <c r="K412" i="3"/>
  <c r="L412" i="3" s="1"/>
  <c r="E410" i="3"/>
  <c r="D410" i="3"/>
  <c r="C410" i="3"/>
  <c r="F409" i="3"/>
  <c r="C409" i="3"/>
  <c r="F408" i="3"/>
  <c r="C408" i="3"/>
  <c r="A408" i="3"/>
  <c r="C407" i="3"/>
  <c r="F406" i="3"/>
  <c r="C406" i="3"/>
  <c r="K405" i="3"/>
  <c r="C405" i="3"/>
  <c r="A405" i="3"/>
  <c r="A409" i="3" s="1"/>
  <c r="F404" i="3"/>
  <c r="D404" i="3"/>
  <c r="C404" i="3"/>
  <c r="F403" i="3"/>
  <c r="D403" i="3"/>
  <c r="C403" i="3"/>
  <c r="F402" i="3"/>
  <c r="D402" i="3"/>
  <c r="C402" i="3"/>
  <c r="F401" i="3"/>
  <c r="D401" i="3"/>
  <c r="C401" i="3"/>
  <c r="F400" i="3"/>
  <c r="D400" i="3"/>
  <c r="C400" i="3"/>
  <c r="F399" i="3"/>
  <c r="D399" i="3"/>
  <c r="C399" i="3"/>
  <c r="F398" i="3"/>
  <c r="D398" i="3"/>
  <c r="C398" i="3"/>
  <c r="K397" i="3"/>
  <c r="L397" i="3" s="1"/>
  <c r="C397" i="3"/>
  <c r="A397" i="3"/>
  <c r="A404" i="3" s="1"/>
  <c r="F396" i="3"/>
  <c r="D396" i="3"/>
  <c r="C396" i="3"/>
  <c r="F395" i="3"/>
  <c r="D395" i="3"/>
  <c r="C395" i="3"/>
  <c r="F394" i="3"/>
  <c r="D394" i="3"/>
  <c r="C394" i="3"/>
  <c r="F393" i="3"/>
  <c r="D393" i="3"/>
  <c r="C393" i="3"/>
  <c r="K392" i="3"/>
  <c r="L392" i="3" s="1"/>
  <c r="C392" i="3"/>
  <c r="A392" i="3"/>
  <c r="A395" i="3" s="1"/>
  <c r="F391" i="3"/>
  <c r="D391" i="3"/>
  <c r="C391" i="3"/>
  <c r="K390" i="3"/>
  <c r="L390" i="3" s="1"/>
  <c r="C390" i="3"/>
  <c r="A390" i="3"/>
  <c r="A391" i="3" s="1"/>
  <c r="F389" i="3"/>
  <c r="D389" i="3"/>
  <c r="C389" i="3"/>
  <c r="F388" i="3"/>
  <c r="D388" i="3"/>
  <c r="C388" i="3"/>
  <c r="F387" i="3"/>
  <c r="D387" i="3"/>
  <c r="C387" i="3"/>
  <c r="K386" i="3"/>
  <c r="L386" i="3" s="1"/>
  <c r="C386" i="3"/>
  <c r="A386" i="3"/>
  <c r="A389" i="3" s="1"/>
  <c r="F385" i="3"/>
  <c r="D385" i="3"/>
  <c r="C385" i="3"/>
  <c r="F384" i="3"/>
  <c r="D384" i="3"/>
  <c r="C384" i="3"/>
  <c r="F383" i="3"/>
  <c r="D383" i="3"/>
  <c r="C383" i="3"/>
  <c r="D382" i="3"/>
  <c r="C382" i="3"/>
  <c r="F381" i="3"/>
  <c r="D381" i="3"/>
  <c r="C381" i="3"/>
  <c r="F380" i="3"/>
  <c r="D380" i="3"/>
  <c r="C380" i="3"/>
  <c r="K379" i="3"/>
  <c r="L379" i="3" s="1"/>
  <c r="C379" i="3"/>
  <c r="A379" i="3"/>
  <c r="A380" i="3" s="1"/>
  <c r="A381" i="3" s="1"/>
  <c r="A382" i="3" s="1"/>
  <c r="A383" i="3" s="1"/>
  <c r="A384" i="3" s="1"/>
  <c r="A385" i="3" s="1"/>
  <c r="F378" i="3"/>
  <c r="D378" i="3"/>
  <c r="C378" i="3"/>
  <c r="F377" i="3"/>
  <c r="D377" i="3"/>
  <c r="C377" i="3"/>
  <c r="K376" i="3"/>
  <c r="L376" i="3" s="1"/>
  <c r="C376" i="3"/>
  <c r="A376" i="3"/>
  <c r="A378" i="3" s="1"/>
  <c r="F375" i="3"/>
  <c r="D375" i="3"/>
  <c r="C375" i="3"/>
  <c r="F374" i="3"/>
  <c r="D374" i="3"/>
  <c r="C374" i="3"/>
  <c r="C373" i="3"/>
  <c r="A373" i="3"/>
  <c r="A375" i="3" s="1"/>
  <c r="K372" i="3"/>
  <c r="L372" i="3" s="1"/>
  <c r="K371" i="3"/>
  <c r="L371" i="3" s="1"/>
  <c r="K370" i="3"/>
  <c r="L370" i="3" s="1"/>
  <c r="B369" i="3"/>
  <c r="A369" i="3"/>
  <c r="K368" i="3"/>
  <c r="L368" i="3" s="1"/>
  <c r="H367" i="3"/>
  <c r="D367" i="3"/>
  <c r="C367" i="3"/>
  <c r="E366" i="3"/>
  <c r="D366" i="3"/>
  <c r="C366" i="3"/>
  <c r="F365" i="3"/>
  <c r="C365" i="3"/>
  <c r="C364" i="3"/>
  <c r="F363" i="3"/>
  <c r="C363" i="3"/>
  <c r="F362" i="3"/>
  <c r="C362" i="3"/>
  <c r="K361" i="3"/>
  <c r="C361" i="3"/>
  <c r="A361" i="3"/>
  <c r="A366" i="3" s="1"/>
  <c r="F360" i="3"/>
  <c r="D360" i="3"/>
  <c r="C360" i="3"/>
  <c r="F359" i="3"/>
  <c r="D359" i="3"/>
  <c r="C359" i="3"/>
  <c r="F358" i="3"/>
  <c r="D358" i="3"/>
  <c r="C358" i="3"/>
  <c r="F357" i="3"/>
  <c r="D357" i="3"/>
  <c r="C357" i="3"/>
  <c r="F356" i="3"/>
  <c r="D356" i="3"/>
  <c r="C356" i="3"/>
  <c r="F355" i="3"/>
  <c r="D355" i="3"/>
  <c r="C355" i="3"/>
  <c r="F354" i="3"/>
  <c r="D354" i="3"/>
  <c r="C354" i="3"/>
  <c r="K353" i="3"/>
  <c r="L353" i="3" s="1"/>
  <c r="C353" i="3"/>
  <c r="A353" i="3"/>
  <c r="A360" i="3" s="1"/>
  <c r="F352" i="3"/>
  <c r="D352" i="3"/>
  <c r="C352" i="3"/>
  <c r="F351" i="3"/>
  <c r="D351" i="3"/>
  <c r="C351" i="3"/>
  <c r="F350" i="3"/>
  <c r="D350" i="3"/>
  <c r="C350" i="3"/>
  <c r="F349" i="3"/>
  <c r="D349" i="3"/>
  <c r="C349" i="3"/>
  <c r="K348" i="3"/>
  <c r="L348" i="3" s="1"/>
  <c r="C348" i="3"/>
  <c r="A348" i="3"/>
  <c r="A351" i="3" s="1"/>
  <c r="F347" i="3"/>
  <c r="D347" i="3"/>
  <c r="C347" i="3"/>
  <c r="A347" i="3"/>
  <c r="K346" i="3"/>
  <c r="L346" i="3" s="1"/>
  <c r="C346" i="3"/>
  <c r="A346" i="3"/>
  <c r="F345" i="3"/>
  <c r="D345" i="3"/>
  <c r="C345" i="3"/>
  <c r="F344" i="3"/>
  <c r="D344" i="3"/>
  <c r="C344" i="3"/>
  <c r="F343" i="3"/>
  <c r="D343" i="3"/>
  <c r="C343" i="3"/>
  <c r="K342" i="3"/>
  <c r="L342" i="3" s="1"/>
  <c r="C342" i="3"/>
  <c r="A342" i="3"/>
  <c r="A345" i="3" s="1"/>
  <c r="F341" i="3"/>
  <c r="D341" i="3"/>
  <c r="C341" i="3"/>
  <c r="F340" i="3"/>
  <c r="D340" i="3"/>
  <c r="C340" i="3"/>
  <c r="F339" i="3"/>
  <c r="D339" i="3"/>
  <c r="C339" i="3"/>
  <c r="D338" i="3"/>
  <c r="C338" i="3"/>
  <c r="F337" i="3"/>
  <c r="D337" i="3"/>
  <c r="C337" i="3"/>
  <c r="F336" i="3"/>
  <c r="D336" i="3"/>
  <c r="C336" i="3"/>
  <c r="K335" i="3"/>
  <c r="L335" i="3" s="1"/>
  <c r="C335" i="3"/>
  <c r="A335" i="3"/>
  <c r="A336" i="3" s="1"/>
  <c r="A337" i="3" s="1"/>
  <c r="A338" i="3" s="1"/>
  <c r="A339" i="3" s="1"/>
  <c r="A340" i="3" s="1"/>
  <c r="A341" i="3" s="1"/>
  <c r="F334" i="3"/>
  <c r="D334" i="3"/>
  <c r="C334" i="3"/>
  <c r="F333" i="3"/>
  <c r="D333" i="3"/>
  <c r="C333" i="3"/>
  <c r="K332" i="3"/>
  <c r="L332" i="3" s="1"/>
  <c r="C332" i="3"/>
  <c r="A332" i="3"/>
  <c r="A334" i="3" s="1"/>
  <c r="F331" i="3"/>
  <c r="D331" i="3"/>
  <c r="C331" i="3"/>
  <c r="F330" i="3"/>
  <c r="F364" i="3" s="1"/>
  <c r="D330" i="3"/>
  <c r="C330" i="3"/>
  <c r="C329" i="3"/>
  <c r="A329" i="3"/>
  <c r="A331" i="3" s="1"/>
  <c r="K328" i="3"/>
  <c r="L328" i="3" s="1"/>
  <c r="K327" i="3"/>
  <c r="L327" i="3" s="1"/>
  <c r="K326" i="3"/>
  <c r="L326" i="3" s="1"/>
  <c r="B325" i="3"/>
  <c r="A325" i="3"/>
  <c r="K324" i="3"/>
  <c r="L324" i="3" s="1"/>
  <c r="H323" i="3"/>
  <c r="D323" i="3"/>
  <c r="C323" i="3"/>
  <c r="E322" i="3"/>
  <c r="D322" i="3"/>
  <c r="C322" i="3"/>
  <c r="F321" i="3"/>
  <c r="C321" i="3"/>
  <c r="C320" i="3"/>
  <c r="A320" i="3"/>
  <c r="F319" i="3"/>
  <c r="C319" i="3"/>
  <c r="F318" i="3"/>
  <c r="C318" i="3"/>
  <c r="A318" i="3"/>
  <c r="K317" i="3"/>
  <c r="C317" i="3"/>
  <c r="A317" i="3"/>
  <c r="A321" i="3" s="1"/>
  <c r="F316" i="3"/>
  <c r="D316" i="3"/>
  <c r="C316" i="3"/>
  <c r="F315" i="3"/>
  <c r="D315" i="3"/>
  <c r="C315" i="3"/>
  <c r="F314" i="3"/>
  <c r="D314" i="3"/>
  <c r="C314" i="3"/>
  <c r="F313" i="3"/>
  <c r="D313" i="3"/>
  <c r="C313" i="3"/>
  <c r="F312" i="3"/>
  <c r="D312" i="3"/>
  <c r="C312" i="3"/>
  <c r="F311" i="3"/>
  <c r="D311" i="3"/>
  <c r="C311" i="3"/>
  <c r="F310" i="3"/>
  <c r="D310" i="3"/>
  <c r="C310" i="3"/>
  <c r="K309" i="3"/>
  <c r="L309" i="3" s="1"/>
  <c r="C309" i="3"/>
  <c r="A309" i="3"/>
  <c r="A316" i="3" s="1"/>
  <c r="F308" i="3"/>
  <c r="D308" i="3"/>
  <c r="C308" i="3"/>
  <c r="F307" i="3"/>
  <c r="D307" i="3"/>
  <c r="C307" i="3"/>
  <c r="F306" i="3"/>
  <c r="D306" i="3"/>
  <c r="C306" i="3"/>
  <c r="F305" i="3"/>
  <c r="D305" i="3"/>
  <c r="C305" i="3"/>
  <c r="K304" i="3"/>
  <c r="L304" i="3" s="1"/>
  <c r="C304" i="3"/>
  <c r="A304" i="3"/>
  <c r="A307" i="3" s="1"/>
  <c r="F303" i="3"/>
  <c r="D303" i="3"/>
  <c r="C303" i="3"/>
  <c r="K302" i="3"/>
  <c r="L302" i="3" s="1"/>
  <c r="C302" i="3"/>
  <c r="A302" i="3"/>
  <c r="A303" i="3" s="1"/>
  <c r="F301" i="3"/>
  <c r="D301" i="3"/>
  <c r="C301" i="3"/>
  <c r="F300" i="3"/>
  <c r="D300" i="3"/>
  <c r="C300" i="3"/>
  <c r="F299" i="3"/>
  <c r="D299" i="3"/>
  <c r="C299" i="3"/>
  <c r="K298" i="3"/>
  <c r="L298" i="3" s="1"/>
  <c r="C298" i="3"/>
  <c r="A298" i="3"/>
  <c r="A301" i="3" s="1"/>
  <c r="F297" i="3"/>
  <c r="D297" i="3"/>
  <c r="C297" i="3"/>
  <c r="F296" i="3"/>
  <c r="D296" i="3"/>
  <c r="C296" i="3"/>
  <c r="F295" i="3"/>
  <c r="D295" i="3"/>
  <c r="C295" i="3"/>
  <c r="D294" i="3"/>
  <c r="C294" i="3"/>
  <c r="F293" i="3"/>
  <c r="D293" i="3"/>
  <c r="C293" i="3"/>
  <c r="F292" i="3"/>
  <c r="D292" i="3"/>
  <c r="C292" i="3"/>
  <c r="K291" i="3"/>
  <c r="L291" i="3" s="1"/>
  <c r="C291" i="3"/>
  <c r="A291" i="3"/>
  <c r="A292" i="3" s="1"/>
  <c r="A293" i="3" s="1"/>
  <c r="A294" i="3" s="1"/>
  <c r="A295" i="3" s="1"/>
  <c r="A296" i="3" s="1"/>
  <c r="A297" i="3" s="1"/>
  <c r="F290" i="3"/>
  <c r="D290" i="3"/>
  <c r="C290" i="3"/>
  <c r="F289" i="3"/>
  <c r="D289" i="3"/>
  <c r="C289" i="3"/>
  <c r="K288" i="3"/>
  <c r="L288" i="3" s="1"/>
  <c r="C288" i="3"/>
  <c r="A288" i="3"/>
  <c r="A290" i="3" s="1"/>
  <c r="F287" i="3"/>
  <c r="D287" i="3"/>
  <c r="C287" i="3"/>
  <c r="F286" i="3"/>
  <c r="D286" i="3"/>
  <c r="C286" i="3"/>
  <c r="C285" i="3"/>
  <c r="A285" i="3"/>
  <c r="A287" i="3" s="1"/>
  <c r="K284" i="3"/>
  <c r="L284" i="3" s="1"/>
  <c r="K283" i="3"/>
  <c r="L283" i="3" s="1"/>
  <c r="K282" i="3"/>
  <c r="L282" i="3" s="1"/>
  <c r="B281" i="3"/>
  <c r="A281" i="3"/>
  <c r="K280" i="3"/>
  <c r="L280" i="3" s="1"/>
  <c r="H279" i="3"/>
  <c r="D279" i="3"/>
  <c r="C279" i="3"/>
  <c r="E278" i="3"/>
  <c r="D278" i="3"/>
  <c r="C278" i="3"/>
  <c r="F277" i="3"/>
  <c r="C277" i="3"/>
  <c r="C276" i="3"/>
  <c r="F275" i="3"/>
  <c r="C275" i="3"/>
  <c r="F274" i="3"/>
  <c r="C274" i="3"/>
  <c r="K273" i="3"/>
  <c r="C273" i="3"/>
  <c r="A273" i="3"/>
  <c r="A277" i="3" s="1"/>
  <c r="F272" i="3"/>
  <c r="D272" i="3"/>
  <c r="C272" i="3"/>
  <c r="F271" i="3"/>
  <c r="D271" i="3"/>
  <c r="C271" i="3"/>
  <c r="F270" i="3"/>
  <c r="D270" i="3"/>
  <c r="C270" i="3"/>
  <c r="F269" i="3"/>
  <c r="D269" i="3"/>
  <c r="C269" i="3"/>
  <c r="F268" i="3"/>
  <c r="D268" i="3"/>
  <c r="C268" i="3"/>
  <c r="F267" i="3"/>
  <c r="D267" i="3"/>
  <c r="C267" i="3"/>
  <c r="F266" i="3"/>
  <c r="D266" i="3"/>
  <c r="C266" i="3"/>
  <c r="K265" i="3"/>
  <c r="L265" i="3" s="1"/>
  <c r="C265" i="3"/>
  <c r="A265" i="3"/>
  <c r="A272" i="3" s="1"/>
  <c r="F264" i="3"/>
  <c r="D264" i="3"/>
  <c r="C264" i="3"/>
  <c r="F263" i="3"/>
  <c r="D263" i="3"/>
  <c r="C263" i="3"/>
  <c r="F262" i="3"/>
  <c r="D262" i="3"/>
  <c r="C262" i="3"/>
  <c r="F261" i="3"/>
  <c r="D261" i="3"/>
  <c r="C261" i="3"/>
  <c r="K260" i="3"/>
  <c r="L260" i="3" s="1"/>
  <c r="C260" i="3"/>
  <c r="A260" i="3"/>
  <c r="A263" i="3" s="1"/>
  <c r="F259" i="3"/>
  <c r="D259" i="3"/>
  <c r="C259" i="3"/>
  <c r="K258" i="3"/>
  <c r="L258" i="3" s="1"/>
  <c r="C258" i="3"/>
  <c r="A258" i="3"/>
  <c r="A259" i="3" s="1"/>
  <c r="F257" i="3"/>
  <c r="D257" i="3"/>
  <c r="C257" i="3"/>
  <c r="F256" i="3"/>
  <c r="D256" i="3"/>
  <c r="C256" i="3"/>
  <c r="F255" i="3"/>
  <c r="D255" i="3"/>
  <c r="C255" i="3"/>
  <c r="K254" i="3"/>
  <c r="L254" i="3" s="1"/>
  <c r="C254" i="3"/>
  <c r="A254" i="3"/>
  <c r="A257" i="3" s="1"/>
  <c r="F253" i="3"/>
  <c r="D253" i="3"/>
  <c r="C253" i="3"/>
  <c r="F252" i="3"/>
  <c r="D252" i="3"/>
  <c r="C252" i="3"/>
  <c r="F251" i="3"/>
  <c r="D251" i="3"/>
  <c r="C251" i="3"/>
  <c r="D250" i="3"/>
  <c r="C250" i="3"/>
  <c r="F249" i="3"/>
  <c r="D249" i="3"/>
  <c r="C249" i="3"/>
  <c r="F248" i="3"/>
  <c r="D248" i="3"/>
  <c r="C248" i="3"/>
  <c r="L247" i="3"/>
  <c r="K247" i="3"/>
  <c r="C247" i="3"/>
  <c r="A247" i="3"/>
  <c r="A248" i="3" s="1"/>
  <c r="A249" i="3" s="1"/>
  <c r="A250" i="3" s="1"/>
  <c r="A251" i="3" s="1"/>
  <c r="A252" i="3" s="1"/>
  <c r="A253" i="3" s="1"/>
  <c r="F246" i="3"/>
  <c r="D246" i="3"/>
  <c r="C246" i="3"/>
  <c r="F245" i="3"/>
  <c r="D245" i="3"/>
  <c r="C245" i="3"/>
  <c r="L244" i="3"/>
  <c r="K244" i="3"/>
  <c r="C244" i="3"/>
  <c r="A244" i="3"/>
  <c r="A246" i="3" s="1"/>
  <c r="F243" i="3"/>
  <c r="D243" i="3"/>
  <c r="C243" i="3"/>
  <c r="F242" i="3"/>
  <c r="D242" i="3"/>
  <c r="C242" i="3"/>
  <c r="C241" i="3"/>
  <c r="A241" i="3"/>
  <c r="A243" i="3" s="1"/>
  <c r="L240" i="3"/>
  <c r="K240" i="3"/>
  <c r="L239" i="3"/>
  <c r="K239" i="3"/>
  <c r="L238" i="3"/>
  <c r="K238" i="3"/>
  <c r="B237" i="3"/>
  <c r="A237" i="3"/>
  <c r="L236" i="3"/>
  <c r="K236" i="3"/>
  <c r="H235" i="3"/>
  <c r="D235" i="3"/>
  <c r="C235" i="3"/>
  <c r="E234" i="3"/>
  <c r="D234" i="3"/>
  <c r="C234" i="3"/>
  <c r="F233" i="3"/>
  <c r="C233" i="3"/>
  <c r="C232" i="3"/>
  <c r="F231" i="3"/>
  <c r="C231" i="3"/>
  <c r="F230" i="3"/>
  <c r="C230" i="3"/>
  <c r="K229" i="3"/>
  <c r="C229" i="3"/>
  <c r="A229" i="3"/>
  <c r="A233" i="3" s="1"/>
  <c r="F228" i="3"/>
  <c r="D228" i="3"/>
  <c r="C228" i="3"/>
  <c r="F227" i="3"/>
  <c r="D227" i="3"/>
  <c r="C227" i="3"/>
  <c r="F226" i="3"/>
  <c r="D226" i="3"/>
  <c r="C226" i="3"/>
  <c r="F225" i="3"/>
  <c r="D225" i="3"/>
  <c r="C225" i="3"/>
  <c r="F224" i="3"/>
  <c r="D224" i="3"/>
  <c r="C224" i="3"/>
  <c r="F223" i="3"/>
  <c r="D223" i="3"/>
  <c r="C223" i="3"/>
  <c r="F222" i="3"/>
  <c r="D222" i="3"/>
  <c r="C222" i="3"/>
  <c r="L221" i="3"/>
  <c r="K221" i="3"/>
  <c r="C221" i="3"/>
  <c r="A221" i="3"/>
  <c r="A228" i="3" s="1"/>
  <c r="F220" i="3"/>
  <c r="D220" i="3"/>
  <c r="C220" i="3"/>
  <c r="F219" i="3"/>
  <c r="D219" i="3"/>
  <c r="C219" i="3"/>
  <c r="F218" i="3"/>
  <c r="D218" i="3"/>
  <c r="C218" i="3"/>
  <c r="F217" i="3"/>
  <c r="D217" i="3"/>
  <c r="C217" i="3"/>
  <c r="L216" i="3"/>
  <c r="K216" i="3"/>
  <c r="C216" i="3"/>
  <c r="A216" i="3"/>
  <c r="A219" i="3" s="1"/>
  <c r="F215" i="3"/>
  <c r="D215" i="3"/>
  <c r="C215" i="3"/>
  <c r="K214" i="3"/>
  <c r="L214" i="3" s="1"/>
  <c r="C214" i="3"/>
  <c r="A214" i="3"/>
  <c r="A215" i="3" s="1"/>
  <c r="F213" i="3"/>
  <c r="D213" i="3"/>
  <c r="C213" i="3"/>
  <c r="F212" i="3"/>
  <c r="D212" i="3"/>
  <c r="C212" i="3"/>
  <c r="F211" i="3"/>
  <c r="D211" i="3"/>
  <c r="C211" i="3"/>
  <c r="K210" i="3"/>
  <c r="L210" i="3" s="1"/>
  <c r="C210" i="3"/>
  <c r="A210" i="3"/>
  <c r="A213" i="3" s="1"/>
  <c r="F209" i="3"/>
  <c r="D209" i="3"/>
  <c r="C209" i="3"/>
  <c r="F208" i="3"/>
  <c r="D208" i="3"/>
  <c r="C208" i="3"/>
  <c r="F207" i="3"/>
  <c r="F232" i="3" s="1"/>
  <c r="D207" i="3"/>
  <c r="C207" i="3"/>
  <c r="D206" i="3"/>
  <c r="C206" i="3"/>
  <c r="F205" i="3"/>
  <c r="D205" i="3"/>
  <c r="C205" i="3"/>
  <c r="F204" i="3"/>
  <c r="D204" i="3"/>
  <c r="C204" i="3"/>
  <c r="K203" i="3"/>
  <c r="L203" i="3" s="1"/>
  <c r="C203" i="3"/>
  <c r="A203" i="3"/>
  <c r="A204" i="3" s="1"/>
  <c r="A205" i="3" s="1"/>
  <c r="A206" i="3" s="1"/>
  <c r="A207" i="3" s="1"/>
  <c r="A208" i="3" s="1"/>
  <c r="A209" i="3" s="1"/>
  <c r="F202" i="3"/>
  <c r="D202" i="3"/>
  <c r="C202" i="3"/>
  <c r="F201" i="3"/>
  <c r="D201" i="3"/>
  <c r="C201" i="3"/>
  <c r="K200" i="3"/>
  <c r="L200" i="3" s="1"/>
  <c r="C200" i="3"/>
  <c r="A200" i="3"/>
  <c r="A202" i="3" s="1"/>
  <c r="F199" i="3"/>
  <c r="D199" i="3"/>
  <c r="C199" i="3"/>
  <c r="F198" i="3"/>
  <c r="D198" i="3"/>
  <c r="C198" i="3"/>
  <c r="C197" i="3"/>
  <c r="A197" i="3"/>
  <c r="A199" i="3" s="1"/>
  <c r="K196" i="3"/>
  <c r="L196" i="3" s="1"/>
  <c r="K195" i="3"/>
  <c r="L195" i="3" s="1"/>
  <c r="K194" i="3"/>
  <c r="L194" i="3" s="1"/>
  <c r="B193" i="3"/>
  <c r="A193" i="3"/>
  <c r="K192" i="3"/>
  <c r="L192" i="3" s="1"/>
  <c r="H191" i="3"/>
  <c r="D191" i="3"/>
  <c r="C191" i="3"/>
  <c r="E190" i="3"/>
  <c r="D190" i="3"/>
  <c r="C190" i="3"/>
  <c r="C189" i="3"/>
  <c r="F188" i="3"/>
  <c r="C188" i="3"/>
  <c r="F187" i="3"/>
  <c r="C187" i="3"/>
  <c r="F186" i="3"/>
  <c r="C186" i="3"/>
  <c r="K185" i="3"/>
  <c r="C185" i="3"/>
  <c r="A185" i="3"/>
  <c r="A189" i="3" s="1"/>
  <c r="F184" i="3"/>
  <c r="D184" i="3"/>
  <c r="C184" i="3"/>
  <c r="F183" i="3"/>
  <c r="D183" i="3"/>
  <c r="C183" i="3"/>
  <c r="F182" i="3"/>
  <c r="D182" i="3"/>
  <c r="C182" i="3"/>
  <c r="F181" i="3"/>
  <c r="D181" i="3"/>
  <c r="C181" i="3"/>
  <c r="F180" i="3"/>
  <c r="D180" i="3"/>
  <c r="C180" i="3"/>
  <c r="F179" i="3"/>
  <c r="D179" i="3"/>
  <c r="C179" i="3"/>
  <c r="F178" i="3"/>
  <c r="D178" i="3"/>
  <c r="C178" i="3"/>
  <c r="K177" i="3"/>
  <c r="L177" i="3" s="1"/>
  <c r="C177" i="3"/>
  <c r="A177" i="3"/>
  <c r="A184" i="3" s="1"/>
  <c r="F176" i="3"/>
  <c r="D176" i="3"/>
  <c r="C176" i="3"/>
  <c r="F175" i="3"/>
  <c r="D175" i="3"/>
  <c r="C175" i="3"/>
  <c r="F174" i="3"/>
  <c r="D174" i="3"/>
  <c r="C174" i="3"/>
  <c r="F173" i="3"/>
  <c r="D173" i="3"/>
  <c r="C173" i="3"/>
  <c r="K172" i="3"/>
  <c r="L172" i="3" s="1"/>
  <c r="C172" i="3"/>
  <c r="A172" i="3"/>
  <c r="A175" i="3" s="1"/>
  <c r="F171" i="3"/>
  <c r="D171" i="3"/>
  <c r="C171" i="3"/>
  <c r="K170" i="3"/>
  <c r="L170" i="3" s="1"/>
  <c r="C170" i="3"/>
  <c r="A170" i="3"/>
  <c r="A171" i="3" s="1"/>
  <c r="F169" i="3"/>
  <c r="D169" i="3"/>
  <c r="C169" i="3"/>
  <c r="F168" i="3"/>
  <c r="D168" i="3"/>
  <c r="C168" i="3"/>
  <c r="F167" i="3"/>
  <c r="D167" i="3"/>
  <c r="C167" i="3"/>
  <c r="K166" i="3"/>
  <c r="L166" i="3" s="1"/>
  <c r="C166" i="3"/>
  <c r="A166" i="3"/>
  <c r="A169" i="3" s="1"/>
  <c r="F165" i="3"/>
  <c r="D165" i="3"/>
  <c r="C165" i="3"/>
  <c r="F164" i="3"/>
  <c r="D164" i="3"/>
  <c r="C164" i="3"/>
  <c r="F163" i="3"/>
  <c r="D163" i="3"/>
  <c r="C163" i="3"/>
  <c r="D162" i="3"/>
  <c r="C162" i="3"/>
  <c r="F161" i="3"/>
  <c r="D161" i="3"/>
  <c r="C161" i="3"/>
  <c r="F160" i="3"/>
  <c r="D160" i="3"/>
  <c r="C160" i="3"/>
  <c r="K159" i="3"/>
  <c r="L159" i="3" s="1"/>
  <c r="C159" i="3"/>
  <c r="A159" i="3"/>
  <c r="A160" i="3" s="1"/>
  <c r="A161" i="3" s="1"/>
  <c r="A162" i="3" s="1"/>
  <c r="A163" i="3" s="1"/>
  <c r="A164" i="3" s="1"/>
  <c r="A165" i="3" s="1"/>
  <c r="F158" i="3"/>
  <c r="D158" i="3"/>
  <c r="C158" i="3"/>
  <c r="F157" i="3"/>
  <c r="D157" i="3"/>
  <c r="C157" i="3"/>
  <c r="K156" i="3"/>
  <c r="L156" i="3" s="1"/>
  <c r="C156" i="3"/>
  <c r="A156" i="3"/>
  <c r="A158" i="3" s="1"/>
  <c r="F155" i="3"/>
  <c r="D155" i="3"/>
  <c r="C155" i="3"/>
  <c r="F154" i="3"/>
  <c r="F189" i="3" s="1"/>
  <c r="D154" i="3"/>
  <c r="C154" i="3"/>
  <c r="C153" i="3"/>
  <c r="A153" i="3"/>
  <c r="A155" i="3" s="1"/>
  <c r="K152" i="3"/>
  <c r="L152" i="3" s="1"/>
  <c r="K151" i="3"/>
  <c r="L151" i="3" s="1"/>
  <c r="K150" i="3"/>
  <c r="L150" i="3" s="1"/>
  <c r="B149" i="3"/>
  <c r="A149" i="3"/>
  <c r="K148" i="3"/>
  <c r="L148" i="3" s="1"/>
  <c r="H147" i="3"/>
  <c r="D147" i="3"/>
  <c r="C147" i="3"/>
  <c r="E146" i="3"/>
  <c r="D146" i="3"/>
  <c r="C146" i="3"/>
  <c r="F145" i="3"/>
  <c r="C145" i="3"/>
  <c r="C144" i="3"/>
  <c r="A144" i="3"/>
  <c r="F143" i="3"/>
  <c r="C143" i="3"/>
  <c r="F142" i="3"/>
  <c r="C142" i="3"/>
  <c r="A142" i="3"/>
  <c r="K141" i="3"/>
  <c r="C141" i="3"/>
  <c r="A141" i="3"/>
  <c r="A145" i="3" s="1"/>
  <c r="F140" i="3"/>
  <c r="D140" i="3"/>
  <c r="C140" i="3"/>
  <c r="F139" i="3"/>
  <c r="D139" i="3"/>
  <c r="C139" i="3"/>
  <c r="F138" i="3"/>
  <c r="D138" i="3"/>
  <c r="C138" i="3"/>
  <c r="F137" i="3"/>
  <c r="D137" i="3"/>
  <c r="C137" i="3"/>
  <c r="F136" i="3"/>
  <c r="D136" i="3"/>
  <c r="C136" i="3"/>
  <c r="F135" i="3"/>
  <c r="D135" i="3"/>
  <c r="C135" i="3"/>
  <c r="F134" i="3"/>
  <c r="D134" i="3"/>
  <c r="C134" i="3"/>
  <c r="K133" i="3"/>
  <c r="L133" i="3" s="1"/>
  <c r="C133" i="3"/>
  <c r="A133" i="3"/>
  <c r="A140" i="3" s="1"/>
  <c r="F132" i="3"/>
  <c r="D132" i="3"/>
  <c r="C132" i="3"/>
  <c r="F131" i="3"/>
  <c r="D131" i="3"/>
  <c r="C131" i="3"/>
  <c r="F130" i="3"/>
  <c r="D130" i="3"/>
  <c r="C130" i="3"/>
  <c r="F129" i="3"/>
  <c r="D129" i="3"/>
  <c r="C129" i="3"/>
  <c r="K128" i="3"/>
  <c r="L128" i="3" s="1"/>
  <c r="C128" i="3"/>
  <c r="A128" i="3"/>
  <c r="A131" i="3" s="1"/>
  <c r="F127" i="3"/>
  <c r="D127" i="3"/>
  <c r="C127" i="3"/>
  <c r="K126" i="3"/>
  <c r="L126" i="3" s="1"/>
  <c r="C126" i="3"/>
  <c r="A126" i="3"/>
  <c r="A127" i="3" s="1"/>
  <c r="F125" i="3"/>
  <c r="D125" i="3"/>
  <c r="C125" i="3"/>
  <c r="F124" i="3"/>
  <c r="D124" i="3"/>
  <c r="C124" i="3"/>
  <c r="F123" i="3"/>
  <c r="D123" i="3"/>
  <c r="C123" i="3"/>
  <c r="K122" i="3"/>
  <c r="L122" i="3" s="1"/>
  <c r="C122" i="3"/>
  <c r="A122" i="3"/>
  <c r="A125" i="3" s="1"/>
  <c r="F121" i="3"/>
  <c r="D121" i="3"/>
  <c r="C121" i="3"/>
  <c r="F120" i="3"/>
  <c r="D120" i="3"/>
  <c r="C120" i="3"/>
  <c r="F119" i="3"/>
  <c r="D119" i="3"/>
  <c r="C119" i="3"/>
  <c r="D118" i="3"/>
  <c r="C118" i="3"/>
  <c r="F117" i="3"/>
  <c r="D117" i="3"/>
  <c r="C117" i="3"/>
  <c r="F116" i="3"/>
  <c r="D116" i="3"/>
  <c r="C116" i="3"/>
  <c r="K115" i="3"/>
  <c r="L115" i="3" s="1"/>
  <c r="C115" i="3"/>
  <c r="A115" i="3"/>
  <c r="A116" i="3" s="1"/>
  <c r="A117" i="3" s="1"/>
  <c r="A118" i="3" s="1"/>
  <c r="A119" i="3" s="1"/>
  <c r="A120" i="3" s="1"/>
  <c r="A121" i="3" s="1"/>
  <c r="F114" i="3"/>
  <c r="D114" i="3"/>
  <c r="C114" i="3"/>
  <c r="F113" i="3"/>
  <c r="D113" i="3"/>
  <c r="C113" i="3"/>
  <c r="K112" i="3"/>
  <c r="L112" i="3" s="1"/>
  <c r="C112" i="3"/>
  <c r="A112" i="3"/>
  <c r="A114" i="3" s="1"/>
  <c r="F111" i="3"/>
  <c r="D111" i="3"/>
  <c r="C111" i="3"/>
  <c r="F110" i="3"/>
  <c r="D110" i="3"/>
  <c r="C110" i="3"/>
  <c r="C109" i="3"/>
  <c r="A109" i="3"/>
  <c r="A111" i="3" s="1"/>
  <c r="K108" i="3"/>
  <c r="L108" i="3" s="1"/>
  <c r="K107" i="3"/>
  <c r="L107" i="3" s="1"/>
  <c r="K106" i="3"/>
  <c r="L106" i="3" s="1"/>
  <c r="B105" i="3"/>
  <c r="A105" i="3"/>
  <c r="K104" i="3"/>
  <c r="L104" i="3" s="1"/>
  <c r="H103" i="3"/>
  <c r="D103" i="3"/>
  <c r="C103" i="3"/>
  <c r="E102" i="3"/>
  <c r="D102" i="3"/>
  <c r="C102" i="3"/>
  <c r="C101" i="3"/>
  <c r="F100" i="3"/>
  <c r="C100" i="3"/>
  <c r="F99" i="3"/>
  <c r="C99" i="3"/>
  <c r="F98" i="3"/>
  <c r="C98" i="3"/>
  <c r="K97" i="3"/>
  <c r="C97" i="3"/>
  <c r="A97" i="3"/>
  <c r="A101" i="3" s="1"/>
  <c r="F96" i="3"/>
  <c r="D96" i="3"/>
  <c r="C96" i="3"/>
  <c r="F95" i="3"/>
  <c r="D95" i="3"/>
  <c r="C95" i="3"/>
  <c r="F94" i="3"/>
  <c r="D94" i="3"/>
  <c r="C94" i="3"/>
  <c r="F93" i="3"/>
  <c r="D93" i="3"/>
  <c r="C93" i="3"/>
  <c r="F92" i="3"/>
  <c r="D92" i="3"/>
  <c r="C92" i="3"/>
  <c r="F91" i="3"/>
  <c r="D91" i="3"/>
  <c r="C91" i="3"/>
  <c r="F90" i="3"/>
  <c r="D90" i="3"/>
  <c r="C90" i="3"/>
  <c r="K89" i="3"/>
  <c r="L89" i="3" s="1"/>
  <c r="C89" i="3"/>
  <c r="A89" i="3"/>
  <c r="A96" i="3" s="1"/>
  <c r="F88" i="3"/>
  <c r="D88" i="3"/>
  <c r="C88" i="3"/>
  <c r="F87" i="3"/>
  <c r="D87" i="3"/>
  <c r="C87" i="3"/>
  <c r="F86" i="3"/>
  <c r="D86" i="3"/>
  <c r="C86" i="3"/>
  <c r="F85" i="3"/>
  <c r="D85" i="3"/>
  <c r="C85" i="3"/>
  <c r="K84" i="3"/>
  <c r="L84" i="3" s="1"/>
  <c r="C84" i="3"/>
  <c r="A84" i="3"/>
  <c r="A87" i="3" s="1"/>
  <c r="F83" i="3"/>
  <c r="D83" i="3"/>
  <c r="C83" i="3"/>
  <c r="K82" i="3"/>
  <c r="L82" i="3" s="1"/>
  <c r="C82" i="3"/>
  <c r="A82" i="3"/>
  <c r="A83" i="3" s="1"/>
  <c r="F81" i="3"/>
  <c r="D81" i="3"/>
  <c r="C81" i="3"/>
  <c r="F80" i="3"/>
  <c r="D80" i="3"/>
  <c r="C80" i="3"/>
  <c r="F79" i="3"/>
  <c r="D79" i="3"/>
  <c r="C79" i="3"/>
  <c r="K78" i="3"/>
  <c r="L78" i="3" s="1"/>
  <c r="C78" i="3"/>
  <c r="A78" i="3"/>
  <c r="A81" i="3" s="1"/>
  <c r="F77" i="3"/>
  <c r="D77" i="3"/>
  <c r="C77" i="3"/>
  <c r="F76" i="3"/>
  <c r="D76" i="3"/>
  <c r="C76" i="3"/>
  <c r="F75" i="3"/>
  <c r="D75" i="3"/>
  <c r="C75" i="3"/>
  <c r="D74" i="3"/>
  <c r="C74" i="3"/>
  <c r="F73" i="3"/>
  <c r="D73" i="3"/>
  <c r="C73" i="3"/>
  <c r="F72" i="3"/>
  <c r="D72" i="3"/>
  <c r="C72" i="3"/>
  <c r="K71" i="3"/>
  <c r="L71" i="3" s="1"/>
  <c r="C71" i="3"/>
  <c r="A71" i="3"/>
  <c r="A72" i="3" s="1"/>
  <c r="A73" i="3" s="1"/>
  <c r="A74" i="3" s="1"/>
  <c r="A75" i="3" s="1"/>
  <c r="A76" i="3" s="1"/>
  <c r="A77" i="3" s="1"/>
  <c r="F70" i="3"/>
  <c r="D70" i="3"/>
  <c r="C70" i="3"/>
  <c r="F69" i="3"/>
  <c r="D69" i="3"/>
  <c r="C69" i="3"/>
  <c r="K68" i="3"/>
  <c r="L68" i="3" s="1"/>
  <c r="C68" i="3"/>
  <c r="A68" i="3"/>
  <c r="A70" i="3" s="1"/>
  <c r="F67" i="3"/>
  <c r="D67" i="3"/>
  <c r="C67" i="3"/>
  <c r="F66" i="3"/>
  <c r="F101" i="3" s="1"/>
  <c r="D66" i="3"/>
  <c r="C66" i="3"/>
  <c r="C65" i="3"/>
  <c r="A65" i="3"/>
  <c r="A67" i="3" s="1"/>
  <c r="K64" i="3"/>
  <c r="L64" i="3" s="1"/>
  <c r="K63" i="3"/>
  <c r="L63" i="3" s="1"/>
  <c r="K62" i="3"/>
  <c r="L62" i="3" s="1"/>
  <c r="B61" i="3"/>
  <c r="A61" i="3"/>
  <c r="K60" i="3"/>
  <c r="L60" i="3" s="1"/>
  <c r="H59" i="3"/>
  <c r="D59" i="3"/>
  <c r="C59" i="3"/>
  <c r="E58" i="3"/>
  <c r="D58" i="3"/>
  <c r="C58" i="3"/>
  <c r="A58" i="3"/>
  <c r="C57" i="3"/>
  <c r="A57" i="3"/>
  <c r="F56" i="3"/>
  <c r="C56" i="3"/>
  <c r="A56" i="3"/>
  <c r="F55" i="3"/>
  <c r="C55" i="3"/>
  <c r="A55" i="3"/>
  <c r="F54" i="3"/>
  <c r="C54" i="3"/>
  <c r="A54" i="3"/>
  <c r="K53" i="3"/>
  <c r="C53" i="3"/>
  <c r="F52" i="3"/>
  <c r="D52" i="3"/>
  <c r="C52" i="3"/>
  <c r="A52" i="3"/>
  <c r="F51" i="3"/>
  <c r="D51" i="3"/>
  <c r="C51" i="3"/>
  <c r="A51" i="3"/>
  <c r="F50" i="3"/>
  <c r="D50" i="3"/>
  <c r="C50" i="3"/>
  <c r="A50" i="3"/>
  <c r="F49" i="3"/>
  <c r="D49" i="3"/>
  <c r="C49" i="3"/>
  <c r="A49" i="3"/>
  <c r="F48" i="3"/>
  <c r="D48" i="3"/>
  <c r="C48" i="3"/>
  <c r="A48" i="3"/>
  <c r="F47" i="3"/>
  <c r="D47" i="3"/>
  <c r="C47" i="3"/>
  <c r="A47" i="3"/>
  <c r="F46" i="3"/>
  <c r="D46" i="3"/>
  <c r="C46" i="3"/>
  <c r="A46" i="3"/>
  <c r="K45" i="3"/>
  <c r="L45" i="3" s="1"/>
  <c r="C45" i="3"/>
  <c r="F44" i="3"/>
  <c r="D44" i="3"/>
  <c r="C44" i="3"/>
  <c r="F43" i="3"/>
  <c r="D43" i="3"/>
  <c r="C43" i="3"/>
  <c r="A43" i="3"/>
  <c r="F42" i="3"/>
  <c r="D42" i="3"/>
  <c r="C42" i="3"/>
  <c r="A42" i="3"/>
  <c r="A44" i="3" s="1"/>
  <c r="F41" i="3"/>
  <c r="D41" i="3"/>
  <c r="C41" i="3"/>
  <c r="A41" i="3"/>
  <c r="K40" i="3"/>
  <c r="L40" i="3" s="1"/>
  <c r="C40" i="3"/>
  <c r="F39" i="3"/>
  <c r="D39" i="3"/>
  <c r="C39" i="3"/>
  <c r="A39" i="3"/>
  <c r="K38" i="3"/>
  <c r="L38" i="3" s="1"/>
  <c r="C38" i="3"/>
  <c r="F37" i="3"/>
  <c r="D37" i="3"/>
  <c r="C37" i="3"/>
  <c r="A37" i="3"/>
  <c r="F36" i="3"/>
  <c r="D36" i="3"/>
  <c r="C36" i="3"/>
  <c r="A36" i="3"/>
  <c r="F35" i="3"/>
  <c r="D35" i="3"/>
  <c r="C35" i="3"/>
  <c r="A35" i="3"/>
  <c r="K34" i="3"/>
  <c r="L34" i="3" s="1"/>
  <c r="C34" i="3"/>
  <c r="F33" i="3"/>
  <c r="D33" i="3"/>
  <c r="C33" i="3"/>
  <c r="A33" i="3"/>
  <c r="F32" i="3"/>
  <c r="D32" i="3"/>
  <c r="C32" i="3"/>
  <c r="A32" i="3"/>
  <c r="F31" i="3"/>
  <c r="D31" i="3"/>
  <c r="C31" i="3"/>
  <c r="A31" i="3"/>
  <c r="D30" i="3"/>
  <c r="C30" i="3"/>
  <c r="A30" i="3"/>
  <c r="F29" i="3"/>
  <c r="D29" i="3"/>
  <c r="C29" i="3"/>
  <c r="A29" i="3"/>
  <c r="F28" i="3"/>
  <c r="D28" i="3"/>
  <c r="C28" i="3"/>
  <c r="A28" i="3"/>
  <c r="K27" i="3"/>
  <c r="L27" i="3" s="1"/>
  <c r="C27" i="3"/>
  <c r="F26" i="3"/>
  <c r="D26" i="3"/>
  <c r="C26" i="3"/>
  <c r="A26" i="3"/>
  <c r="F25" i="3"/>
  <c r="D25" i="3"/>
  <c r="C25" i="3"/>
  <c r="A25" i="3"/>
  <c r="K24" i="3"/>
  <c r="L24" i="3" s="1"/>
  <c r="C24" i="3"/>
  <c r="F23" i="3"/>
  <c r="D23" i="3"/>
  <c r="C23" i="3"/>
  <c r="A23" i="3"/>
  <c r="F22" i="3"/>
  <c r="D22" i="3"/>
  <c r="C22" i="3"/>
  <c r="A22" i="3"/>
  <c r="C21" i="3"/>
  <c r="B17" i="3"/>
  <c r="A17" i="3"/>
  <c r="K16" i="3"/>
  <c r="L16" i="3" s="1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C5" i="3"/>
  <c r="B677" i="2"/>
  <c r="A677" i="2"/>
  <c r="K676" i="2"/>
  <c r="L676" i="2" s="1"/>
  <c r="H675" i="2"/>
  <c r="D675" i="2"/>
  <c r="C675" i="2"/>
  <c r="E674" i="2"/>
  <c r="D674" i="2"/>
  <c r="C674" i="2"/>
  <c r="C673" i="2"/>
  <c r="F672" i="2"/>
  <c r="C672" i="2"/>
  <c r="F671" i="2"/>
  <c r="C671" i="2"/>
  <c r="F670" i="2"/>
  <c r="C670" i="2"/>
  <c r="K669" i="2"/>
  <c r="C669" i="2"/>
  <c r="A669" i="2"/>
  <c r="A674" i="2" s="1"/>
  <c r="F668" i="2"/>
  <c r="D668" i="2"/>
  <c r="C668" i="2"/>
  <c r="F667" i="2"/>
  <c r="D667" i="2"/>
  <c r="C667" i="2"/>
  <c r="F666" i="2"/>
  <c r="D666" i="2"/>
  <c r="C666" i="2"/>
  <c r="F665" i="2"/>
  <c r="D665" i="2"/>
  <c r="C665" i="2"/>
  <c r="F664" i="2"/>
  <c r="D664" i="2"/>
  <c r="C664" i="2"/>
  <c r="F663" i="2"/>
  <c r="D663" i="2"/>
  <c r="C663" i="2"/>
  <c r="F662" i="2"/>
  <c r="D662" i="2"/>
  <c r="C662" i="2"/>
  <c r="K661" i="2"/>
  <c r="L661" i="2" s="1"/>
  <c r="C661" i="2"/>
  <c r="A661" i="2"/>
  <c r="F660" i="2"/>
  <c r="D660" i="2"/>
  <c r="C660" i="2"/>
  <c r="F659" i="2"/>
  <c r="D659" i="2"/>
  <c r="C659" i="2"/>
  <c r="F658" i="2"/>
  <c r="D658" i="2"/>
  <c r="C658" i="2"/>
  <c r="F657" i="2"/>
  <c r="D657" i="2"/>
  <c r="C657" i="2"/>
  <c r="K656" i="2"/>
  <c r="L656" i="2" s="1"/>
  <c r="C656" i="2"/>
  <c r="A656" i="2"/>
  <c r="A657" i="2" s="1"/>
  <c r="F655" i="2"/>
  <c r="D655" i="2"/>
  <c r="C655" i="2"/>
  <c r="K654" i="2"/>
  <c r="L654" i="2" s="1"/>
  <c r="C654" i="2"/>
  <c r="A654" i="2"/>
  <c r="A655" i="2" s="1"/>
  <c r="F653" i="2"/>
  <c r="D653" i="2"/>
  <c r="C653" i="2"/>
  <c r="F652" i="2"/>
  <c r="D652" i="2"/>
  <c r="C652" i="2"/>
  <c r="A652" i="2"/>
  <c r="F651" i="2"/>
  <c r="D651" i="2"/>
  <c r="C651" i="2"/>
  <c r="A651" i="2"/>
  <c r="K650" i="2"/>
  <c r="L650" i="2" s="1"/>
  <c r="C650" i="2"/>
  <c r="A650" i="2"/>
  <c r="A653" i="2" s="1"/>
  <c r="F649" i="2"/>
  <c r="D649" i="2"/>
  <c r="C649" i="2"/>
  <c r="F648" i="2"/>
  <c r="D648" i="2"/>
  <c r="C648" i="2"/>
  <c r="F647" i="2"/>
  <c r="D647" i="2"/>
  <c r="C647" i="2"/>
  <c r="D646" i="2"/>
  <c r="C646" i="2"/>
  <c r="F645" i="2"/>
  <c r="D645" i="2"/>
  <c r="C645" i="2"/>
  <c r="F644" i="2"/>
  <c r="D644" i="2"/>
  <c r="C644" i="2"/>
  <c r="K643" i="2"/>
  <c r="L643" i="2" s="1"/>
  <c r="C643" i="2"/>
  <c r="A643" i="2"/>
  <c r="A644" i="2" s="1"/>
  <c r="A645" i="2" s="1"/>
  <c r="A646" i="2" s="1"/>
  <c r="A647" i="2" s="1"/>
  <c r="A648" i="2" s="1"/>
  <c r="A649" i="2" s="1"/>
  <c r="F642" i="2"/>
  <c r="D642" i="2"/>
  <c r="C642" i="2"/>
  <c r="F641" i="2"/>
  <c r="D641" i="2"/>
  <c r="C641" i="2"/>
  <c r="K640" i="2"/>
  <c r="L640" i="2" s="1"/>
  <c r="C640" i="2"/>
  <c r="A640" i="2"/>
  <c r="A642" i="2" s="1"/>
  <c r="F639" i="2"/>
  <c r="D639" i="2"/>
  <c r="C639" i="2"/>
  <c r="F638" i="2"/>
  <c r="D638" i="2"/>
  <c r="C638" i="2"/>
  <c r="C637" i="2"/>
  <c r="A637" i="2"/>
  <c r="A639" i="2" s="1"/>
  <c r="K636" i="2"/>
  <c r="L636" i="2" s="1"/>
  <c r="K635" i="2"/>
  <c r="L635" i="2" s="1"/>
  <c r="K634" i="2"/>
  <c r="L634" i="2" s="1"/>
  <c r="B633" i="2"/>
  <c r="A633" i="2"/>
  <c r="K632" i="2"/>
  <c r="L632" i="2" s="1"/>
  <c r="H631" i="2"/>
  <c r="D631" i="2"/>
  <c r="C631" i="2"/>
  <c r="E630" i="2"/>
  <c r="D630" i="2"/>
  <c r="C630" i="2"/>
  <c r="C629" i="2"/>
  <c r="F628" i="2"/>
  <c r="C628" i="2"/>
  <c r="A628" i="2"/>
  <c r="F627" i="2"/>
  <c r="C627" i="2"/>
  <c r="F626" i="2"/>
  <c r="C626" i="2"/>
  <c r="A626" i="2"/>
  <c r="K625" i="2"/>
  <c r="C625" i="2"/>
  <c r="A625" i="2"/>
  <c r="A629" i="2" s="1"/>
  <c r="F624" i="2"/>
  <c r="D624" i="2"/>
  <c r="C624" i="2"/>
  <c r="F623" i="2"/>
  <c r="D623" i="2"/>
  <c r="C623" i="2"/>
  <c r="F622" i="2"/>
  <c r="D622" i="2"/>
  <c r="C622" i="2"/>
  <c r="F621" i="2"/>
  <c r="D621" i="2"/>
  <c r="C621" i="2"/>
  <c r="F620" i="2"/>
  <c r="D620" i="2"/>
  <c r="C620" i="2"/>
  <c r="F619" i="2"/>
  <c r="D619" i="2"/>
  <c r="C619" i="2"/>
  <c r="F618" i="2"/>
  <c r="D618" i="2"/>
  <c r="C618" i="2"/>
  <c r="K617" i="2"/>
  <c r="L617" i="2" s="1"/>
  <c r="C617" i="2"/>
  <c r="A617" i="2"/>
  <c r="A624" i="2" s="1"/>
  <c r="F616" i="2"/>
  <c r="D616" i="2"/>
  <c r="C616" i="2"/>
  <c r="F615" i="2"/>
  <c r="D615" i="2"/>
  <c r="C615" i="2"/>
  <c r="F614" i="2"/>
  <c r="D614" i="2"/>
  <c r="C614" i="2"/>
  <c r="F613" i="2"/>
  <c r="D613" i="2"/>
  <c r="C613" i="2"/>
  <c r="K612" i="2"/>
  <c r="L612" i="2" s="1"/>
  <c r="C612" i="2"/>
  <c r="A612" i="2"/>
  <c r="A615" i="2" s="1"/>
  <c r="F611" i="2"/>
  <c r="D611" i="2"/>
  <c r="C611" i="2"/>
  <c r="L610" i="2"/>
  <c r="K610" i="2"/>
  <c r="C610" i="2"/>
  <c r="A610" i="2"/>
  <c r="A611" i="2" s="1"/>
  <c r="F609" i="2"/>
  <c r="D609" i="2"/>
  <c r="C609" i="2"/>
  <c r="F608" i="2"/>
  <c r="D608" i="2"/>
  <c r="C608" i="2"/>
  <c r="F607" i="2"/>
  <c r="D607" i="2"/>
  <c r="C607" i="2"/>
  <c r="K606" i="2"/>
  <c r="L606" i="2" s="1"/>
  <c r="C606" i="2"/>
  <c r="A606" i="2"/>
  <c r="A609" i="2" s="1"/>
  <c r="F605" i="2"/>
  <c r="D605" i="2"/>
  <c r="C605" i="2"/>
  <c r="F604" i="2"/>
  <c r="D604" i="2"/>
  <c r="C604" i="2"/>
  <c r="F603" i="2"/>
  <c r="D603" i="2"/>
  <c r="C603" i="2"/>
  <c r="D602" i="2"/>
  <c r="C602" i="2"/>
  <c r="F601" i="2"/>
  <c r="D601" i="2"/>
  <c r="C601" i="2"/>
  <c r="F600" i="2"/>
  <c r="D600" i="2"/>
  <c r="C600" i="2"/>
  <c r="K599" i="2"/>
  <c r="L599" i="2" s="1"/>
  <c r="C599" i="2"/>
  <c r="A599" i="2"/>
  <c r="A600" i="2" s="1"/>
  <c r="A601" i="2" s="1"/>
  <c r="A602" i="2" s="1"/>
  <c r="A603" i="2" s="1"/>
  <c r="A604" i="2" s="1"/>
  <c r="A605" i="2" s="1"/>
  <c r="F598" i="2"/>
  <c r="D598" i="2"/>
  <c r="C598" i="2"/>
  <c r="F597" i="2"/>
  <c r="D597" i="2"/>
  <c r="C597" i="2"/>
  <c r="K596" i="2"/>
  <c r="L596" i="2" s="1"/>
  <c r="C596" i="2"/>
  <c r="A596" i="2"/>
  <c r="A598" i="2" s="1"/>
  <c r="F595" i="2"/>
  <c r="D595" i="2"/>
  <c r="C595" i="2"/>
  <c r="F594" i="2"/>
  <c r="F629" i="2" s="1"/>
  <c r="D594" i="2"/>
  <c r="C594" i="2"/>
  <c r="C593" i="2"/>
  <c r="A593" i="2"/>
  <c r="A595" i="2" s="1"/>
  <c r="K592" i="2"/>
  <c r="L592" i="2" s="1"/>
  <c r="K591" i="2"/>
  <c r="L591" i="2" s="1"/>
  <c r="K590" i="2"/>
  <c r="L590" i="2" s="1"/>
  <c r="B589" i="2"/>
  <c r="A589" i="2"/>
  <c r="K588" i="2"/>
  <c r="L588" i="2" s="1"/>
  <c r="H587" i="2"/>
  <c r="D587" i="2"/>
  <c r="C587" i="2"/>
  <c r="E586" i="2"/>
  <c r="D586" i="2"/>
  <c r="C586" i="2"/>
  <c r="C585" i="2"/>
  <c r="F584" i="2"/>
  <c r="C584" i="2"/>
  <c r="A584" i="2"/>
  <c r="F583" i="2"/>
  <c r="C583" i="2"/>
  <c r="F582" i="2"/>
  <c r="C582" i="2"/>
  <c r="A582" i="2"/>
  <c r="K581" i="2"/>
  <c r="C581" i="2"/>
  <c r="A581" i="2"/>
  <c r="A585" i="2" s="1"/>
  <c r="F580" i="2"/>
  <c r="D580" i="2"/>
  <c r="C580" i="2"/>
  <c r="F579" i="2"/>
  <c r="D579" i="2"/>
  <c r="C579" i="2"/>
  <c r="F578" i="2"/>
  <c r="D578" i="2"/>
  <c r="C578" i="2"/>
  <c r="F577" i="2"/>
  <c r="D577" i="2"/>
  <c r="C577" i="2"/>
  <c r="F576" i="2"/>
  <c r="D576" i="2"/>
  <c r="C576" i="2"/>
  <c r="F575" i="2"/>
  <c r="D575" i="2"/>
  <c r="C575" i="2"/>
  <c r="F574" i="2"/>
  <c r="D574" i="2"/>
  <c r="C574" i="2"/>
  <c r="K573" i="2"/>
  <c r="L573" i="2" s="1"/>
  <c r="C573" i="2"/>
  <c r="A573" i="2"/>
  <c r="A580" i="2" s="1"/>
  <c r="F572" i="2"/>
  <c r="D572" i="2"/>
  <c r="C572" i="2"/>
  <c r="F571" i="2"/>
  <c r="D571" i="2"/>
  <c r="C571" i="2"/>
  <c r="F570" i="2"/>
  <c r="D570" i="2"/>
  <c r="C570" i="2"/>
  <c r="F569" i="2"/>
  <c r="D569" i="2"/>
  <c r="C569" i="2"/>
  <c r="K568" i="2"/>
  <c r="L568" i="2" s="1"/>
  <c r="C568" i="2"/>
  <c r="A568" i="2"/>
  <c r="A571" i="2" s="1"/>
  <c r="F567" i="2"/>
  <c r="D567" i="2"/>
  <c r="C567" i="2"/>
  <c r="L566" i="2"/>
  <c r="K566" i="2"/>
  <c r="C566" i="2"/>
  <c r="A566" i="2"/>
  <c r="A567" i="2" s="1"/>
  <c r="F565" i="2"/>
  <c r="D565" i="2"/>
  <c r="C565" i="2"/>
  <c r="F564" i="2"/>
  <c r="D564" i="2"/>
  <c r="C564" i="2"/>
  <c r="F563" i="2"/>
  <c r="D563" i="2"/>
  <c r="C563" i="2"/>
  <c r="K562" i="2"/>
  <c r="L562" i="2" s="1"/>
  <c r="C562" i="2"/>
  <c r="A562" i="2"/>
  <c r="A565" i="2" s="1"/>
  <c r="F561" i="2"/>
  <c r="D561" i="2"/>
  <c r="C561" i="2"/>
  <c r="F560" i="2"/>
  <c r="D560" i="2"/>
  <c r="C560" i="2"/>
  <c r="F559" i="2"/>
  <c r="D559" i="2"/>
  <c r="C559" i="2"/>
  <c r="D558" i="2"/>
  <c r="C558" i="2"/>
  <c r="F557" i="2"/>
  <c r="D557" i="2"/>
  <c r="C557" i="2"/>
  <c r="F556" i="2"/>
  <c r="D556" i="2"/>
  <c r="C556" i="2"/>
  <c r="K555" i="2"/>
  <c r="L555" i="2" s="1"/>
  <c r="C555" i="2"/>
  <c r="A555" i="2"/>
  <c r="A556" i="2" s="1"/>
  <c r="A557" i="2" s="1"/>
  <c r="A558" i="2" s="1"/>
  <c r="A559" i="2" s="1"/>
  <c r="A560" i="2" s="1"/>
  <c r="A561" i="2" s="1"/>
  <c r="F554" i="2"/>
  <c r="D554" i="2"/>
  <c r="C554" i="2"/>
  <c r="F553" i="2"/>
  <c r="D553" i="2"/>
  <c r="C553" i="2"/>
  <c r="K552" i="2"/>
  <c r="L552" i="2" s="1"/>
  <c r="C552" i="2"/>
  <c r="A552" i="2"/>
  <c r="A554" i="2" s="1"/>
  <c r="F551" i="2"/>
  <c r="D551" i="2"/>
  <c r="C551" i="2"/>
  <c r="F550" i="2"/>
  <c r="F585" i="2" s="1"/>
  <c r="D550" i="2"/>
  <c r="C550" i="2"/>
  <c r="C549" i="2"/>
  <c r="A549" i="2"/>
  <c r="A551" i="2" s="1"/>
  <c r="K548" i="2"/>
  <c r="L548" i="2" s="1"/>
  <c r="K547" i="2"/>
  <c r="L547" i="2" s="1"/>
  <c r="K546" i="2"/>
  <c r="L546" i="2" s="1"/>
  <c r="B545" i="2"/>
  <c r="A545" i="2"/>
  <c r="K544" i="2"/>
  <c r="L544" i="2" s="1"/>
  <c r="H543" i="2"/>
  <c r="D543" i="2"/>
  <c r="C543" i="2"/>
  <c r="E542" i="2"/>
  <c r="D542" i="2"/>
  <c r="C542" i="2"/>
  <c r="F541" i="2"/>
  <c r="C541" i="2"/>
  <c r="C540" i="2"/>
  <c r="F539" i="2"/>
  <c r="C539" i="2"/>
  <c r="F538" i="2"/>
  <c r="C538" i="2"/>
  <c r="K537" i="2"/>
  <c r="C537" i="2"/>
  <c r="A537" i="2"/>
  <c r="A542" i="2" s="1"/>
  <c r="F536" i="2"/>
  <c r="D536" i="2"/>
  <c r="C536" i="2"/>
  <c r="F535" i="2"/>
  <c r="D535" i="2"/>
  <c r="C535" i="2"/>
  <c r="F534" i="2"/>
  <c r="D534" i="2"/>
  <c r="C534" i="2"/>
  <c r="F533" i="2"/>
  <c r="D533" i="2"/>
  <c r="C533" i="2"/>
  <c r="F532" i="2"/>
  <c r="D532" i="2"/>
  <c r="C532" i="2"/>
  <c r="F531" i="2"/>
  <c r="D531" i="2"/>
  <c r="C531" i="2"/>
  <c r="F530" i="2"/>
  <c r="D530" i="2"/>
  <c r="C530" i="2"/>
  <c r="K529" i="2"/>
  <c r="L529" i="2" s="1"/>
  <c r="C529" i="2"/>
  <c r="A529" i="2"/>
  <c r="A536" i="2" s="1"/>
  <c r="F528" i="2"/>
  <c r="D528" i="2"/>
  <c r="C528" i="2"/>
  <c r="F527" i="2"/>
  <c r="D527" i="2"/>
  <c r="C527" i="2"/>
  <c r="F526" i="2"/>
  <c r="D526" i="2"/>
  <c r="C526" i="2"/>
  <c r="F525" i="2"/>
  <c r="D525" i="2"/>
  <c r="C525" i="2"/>
  <c r="K524" i="2"/>
  <c r="L524" i="2" s="1"/>
  <c r="C524" i="2"/>
  <c r="A524" i="2"/>
  <c r="A527" i="2" s="1"/>
  <c r="F523" i="2"/>
  <c r="D523" i="2"/>
  <c r="C523" i="2"/>
  <c r="K522" i="2"/>
  <c r="L522" i="2" s="1"/>
  <c r="C522" i="2"/>
  <c r="A522" i="2"/>
  <c r="A523" i="2" s="1"/>
  <c r="F521" i="2"/>
  <c r="D521" i="2"/>
  <c r="C521" i="2"/>
  <c r="F520" i="2"/>
  <c r="D520" i="2"/>
  <c r="C520" i="2"/>
  <c r="F519" i="2"/>
  <c r="D519" i="2"/>
  <c r="C519" i="2"/>
  <c r="K518" i="2"/>
  <c r="L518" i="2" s="1"/>
  <c r="C518" i="2"/>
  <c r="A518" i="2"/>
  <c r="A521" i="2" s="1"/>
  <c r="F517" i="2"/>
  <c r="D517" i="2"/>
  <c r="C517" i="2"/>
  <c r="F516" i="2"/>
  <c r="D516" i="2"/>
  <c r="C516" i="2"/>
  <c r="F515" i="2"/>
  <c r="D515" i="2"/>
  <c r="C515" i="2"/>
  <c r="D514" i="2"/>
  <c r="C514" i="2"/>
  <c r="F513" i="2"/>
  <c r="D513" i="2"/>
  <c r="C513" i="2"/>
  <c r="F512" i="2"/>
  <c r="D512" i="2"/>
  <c r="C512" i="2"/>
  <c r="K511" i="2"/>
  <c r="L511" i="2" s="1"/>
  <c r="C511" i="2"/>
  <c r="A511" i="2"/>
  <c r="A512" i="2" s="1"/>
  <c r="A513" i="2" s="1"/>
  <c r="A514" i="2" s="1"/>
  <c r="A515" i="2" s="1"/>
  <c r="A516" i="2" s="1"/>
  <c r="A517" i="2" s="1"/>
  <c r="F510" i="2"/>
  <c r="D510" i="2"/>
  <c r="C510" i="2"/>
  <c r="F509" i="2"/>
  <c r="D509" i="2"/>
  <c r="C509" i="2"/>
  <c r="K508" i="2"/>
  <c r="L508" i="2" s="1"/>
  <c r="C508" i="2"/>
  <c r="A508" i="2"/>
  <c r="A510" i="2" s="1"/>
  <c r="F507" i="2"/>
  <c r="D507" i="2"/>
  <c r="C507" i="2"/>
  <c r="F506" i="2"/>
  <c r="F540" i="2" s="1"/>
  <c r="D506" i="2"/>
  <c r="C506" i="2"/>
  <c r="C505" i="2"/>
  <c r="A505" i="2"/>
  <c r="A507" i="2" s="1"/>
  <c r="K504" i="2"/>
  <c r="L504" i="2" s="1"/>
  <c r="K503" i="2"/>
  <c r="L503" i="2" s="1"/>
  <c r="K502" i="2"/>
  <c r="L502" i="2" s="1"/>
  <c r="B501" i="2"/>
  <c r="A501" i="2"/>
  <c r="K500" i="2"/>
  <c r="L500" i="2" s="1"/>
  <c r="H499" i="2"/>
  <c r="D499" i="2"/>
  <c r="C499" i="2"/>
  <c r="E498" i="2"/>
  <c r="D498" i="2"/>
  <c r="C498" i="2"/>
  <c r="C497" i="2"/>
  <c r="F496" i="2"/>
  <c r="C496" i="2"/>
  <c r="F495" i="2"/>
  <c r="C495" i="2"/>
  <c r="F494" i="2"/>
  <c r="C494" i="2"/>
  <c r="K493" i="2"/>
  <c r="C493" i="2"/>
  <c r="A493" i="2"/>
  <c r="A497" i="2" s="1"/>
  <c r="F492" i="2"/>
  <c r="D492" i="2"/>
  <c r="C492" i="2"/>
  <c r="F491" i="2"/>
  <c r="D491" i="2"/>
  <c r="C491" i="2"/>
  <c r="F490" i="2"/>
  <c r="D490" i="2"/>
  <c r="C490" i="2"/>
  <c r="F489" i="2"/>
  <c r="D489" i="2"/>
  <c r="C489" i="2"/>
  <c r="F488" i="2"/>
  <c r="D488" i="2"/>
  <c r="C488" i="2"/>
  <c r="F487" i="2"/>
  <c r="D487" i="2"/>
  <c r="C487" i="2"/>
  <c r="F486" i="2"/>
  <c r="D486" i="2"/>
  <c r="C486" i="2"/>
  <c r="K485" i="2"/>
  <c r="L485" i="2" s="1"/>
  <c r="C485" i="2"/>
  <c r="A485" i="2"/>
  <c r="A492" i="2" s="1"/>
  <c r="F484" i="2"/>
  <c r="D484" i="2"/>
  <c r="C484" i="2"/>
  <c r="F483" i="2"/>
  <c r="D483" i="2"/>
  <c r="C483" i="2"/>
  <c r="F482" i="2"/>
  <c r="D482" i="2"/>
  <c r="C482" i="2"/>
  <c r="F481" i="2"/>
  <c r="D481" i="2"/>
  <c r="C481" i="2"/>
  <c r="K480" i="2"/>
  <c r="L480" i="2" s="1"/>
  <c r="C480" i="2"/>
  <c r="A480" i="2"/>
  <c r="A483" i="2" s="1"/>
  <c r="F479" i="2"/>
  <c r="D479" i="2"/>
  <c r="C479" i="2"/>
  <c r="K478" i="2"/>
  <c r="L478" i="2" s="1"/>
  <c r="C478" i="2"/>
  <c r="A478" i="2"/>
  <c r="A479" i="2" s="1"/>
  <c r="F477" i="2"/>
  <c r="D477" i="2"/>
  <c r="C477" i="2"/>
  <c r="F476" i="2"/>
  <c r="D476" i="2"/>
  <c r="C476" i="2"/>
  <c r="F475" i="2"/>
  <c r="D475" i="2"/>
  <c r="C475" i="2"/>
  <c r="L474" i="2"/>
  <c r="K474" i="2"/>
  <c r="C474" i="2"/>
  <c r="A474" i="2"/>
  <c r="A477" i="2" s="1"/>
  <c r="F473" i="2"/>
  <c r="D473" i="2"/>
  <c r="C473" i="2"/>
  <c r="F472" i="2"/>
  <c r="D472" i="2"/>
  <c r="C472" i="2"/>
  <c r="F471" i="2"/>
  <c r="D471" i="2"/>
  <c r="C471" i="2"/>
  <c r="D470" i="2"/>
  <c r="C470" i="2"/>
  <c r="F469" i="2"/>
  <c r="D469" i="2"/>
  <c r="C469" i="2"/>
  <c r="F468" i="2"/>
  <c r="D468" i="2"/>
  <c r="C468" i="2"/>
  <c r="K467" i="2"/>
  <c r="L467" i="2" s="1"/>
  <c r="C467" i="2"/>
  <c r="A467" i="2"/>
  <c r="A468" i="2" s="1"/>
  <c r="A469" i="2" s="1"/>
  <c r="A470" i="2" s="1"/>
  <c r="A471" i="2" s="1"/>
  <c r="A472" i="2" s="1"/>
  <c r="A473" i="2" s="1"/>
  <c r="F466" i="2"/>
  <c r="D466" i="2"/>
  <c r="C466" i="2"/>
  <c r="F465" i="2"/>
  <c r="D465" i="2"/>
  <c r="C465" i="2"/>
  <c r="K464" i="2"/>
  <c r="L464" i="2" s="1"/>
  <c r="C464" i="2"/>
  <c r="A464" i="2"/>
  <c r="A466" i="2" s="1"/>
  <c r="F463" i="2"/>
  <c r="D463" i="2"/>
  <c r="C463" i="2"/>
  <c r="F462" i="2"/>
  <c r="F497" i="2" s="1"/>
  <c r="D462" i="2"/>
  <c r="C462" i="2"/>
  <c r="C461" i="2"/>
  <c r="A461" i="2"/>
  <c r="A463" i="2" s="1"/>
  <c r="K460" i="2"/>
  <c r="L460" i="2" s="1"/>
  <c r="K459" i="2"/>
  <c r="L459" i="2" s="1"/>
  <c r="K458" i="2"/>
  <c r="L458" i="2" s="1"/>
  <c r="B457" i="2"/>
  <c r="A457" i="2"/>
  <c r="K456" i="2"/>
  <c r="L456" i="2" s="1"/>
  <c r="H455" i="2"/>
  <c r="D455" i="2"/>
  <c r="C455" i="2"/>
  <c r="E454" i="2"/>
  <c r="D454" i="2"/>
  <c r="C454" i="2"/>
  <c r="F453" i="2"/>
  <c r="C453" i="2"/>
  <c r="C452" i="2"/>
  <c r="F451" i="2"/>
  <c r="C451" i="2"/>
  <c r="F450" i="2"/>
  <c r="C450" i="2"/>
  <c r="K449" i="2"/>
  <c r="C449" i="2"/>
  <c r="A449" i="2"/>
  <c r="A454" i="2" s="1"/>
  <c r="F448" i="2"/>
  <c r="D448" i="2"/>
  <c r="C448" i="2"/>
  <c r="F447" i="2"/>
  <c r="D447" i="2"/>
  <c r="C447" i="2"/>
  <c r="F446" i="2"/>
  <c r="D446" i="2"/>
  <c r="C446" i="2"/>
  <c r="F445" i="2"/>
  <c r="D445" i="2"/>
  <c r="C445" i="2"/>
  <c r="F444" i="2"/>
  <c r="D444" i="2"/>
  <c r="C444" i="2"/>
  <c r="F443" i="2"/>
  <c r="D443" i="2"/>
  <c r="C443" i="2"/>
  <c r="F442" i="2"/>
  <c r="D442" i="2"/>
  <c r="C442" i="2"/>
  <c r="K441" i="2"/>
  <c r="L441" i="2" s="1"/>
  <c r="C441" i="2"/>
  <c r="A441" i="2"/>
  <c r="A448" i="2" s="1"/>
  <c r="F440" i="2"/>
  <c r="D440" i="2"/>
  <c r="C440" i="2"/>
  <c r="F439" i="2"/>
  <c r="D439" i="2"/>
  <c r="C439" i="2"/>
  <c r="F438" i="2"/>
  <c r="D438" i="2"/>
  <c r="C438" i="2"/>
  <c r="F437" i="2"/>
  <c r="D437" i="2"/>
  <c r="C437" i="2"/>
  <c r="K436" i="2"/>
  <c r="L436" i="2" s="1"/>
  <c r="C436" i="2"/>
  <c r="A436" i="2"/>
  <c r="A439" i="2" s="1"/>
  <c r="F435" i="2"/>
  <c r="D435" i="2"/>
  <c r="C435" i="2"/>
  <c r="K434" i="2"/>
  <c r="L434" i="2" s="1"/>
  <c r="C434" i="2"/>
  <c r="A434" i="2"/>
  <c r="A435" i="2" s="1"/>
  <c r="F433" i="2"/>
  <c r="D433" i="2"/>
  <c r="C433" i="2"/>
  <c r="F432" i="2"/>
  <c r="D432" i="2"/>
  <c r="C432" i="2"/>
  <c r="F431" i="2"/>
  <c r="D431" i="2"/>
  <c r="C431" i="2"/>
  <c r="K430" i="2"/>
  <c r="L430" i="2" s="1"/>
  <c r="C430" i="2"/>
  <c r="A430" i="2"/>
  <c r="A433" i="2" s="1"/>
  <c r="F429" i="2"/>
  <c r="D429" i="2"/>
  <c r="C429" i="2"/>
  <c r="F428" i="2"/>
  <c r="D428" i="2"/>
  <c r="C428" i="2"/>
  <c r="F427" i="2"/>
  <c r="D427" i="2"/>
  <c r="C427" i="2"/>
  <c r="D426" i="2"/>
  <c r="C426" i="2"/>
  <c r="F425" i="2"/>
  <c r="D425" i="2"/>
  <c r="C425" i="2"/>
  <c r="F424" i="2"/>
  <c r="D424" i="2"/>
  <c r="C424" i="2"/>
  <c r="K423" i="2"/>
  <c r="L423" i="2" s="1"/>
  <c r="C423" i="2"/>
  <c r="A423" i="2"/>
  <c r="A424" i="2" s="1"/>
  <c r="A425" i="2" s="1"/>
  <c r="A426" i="2" s="1"/>
  <c r="A427" i="2" s="1"/>
  <c r="A428" i="2" s="1"/>
  <c r="A429" i="2" s="1"/>
  <c r="F422" i="2"/>
  <c r="D422" i="2"/>
  <c r="C422" i="2"/>
  <c r="F421" i="2"/>
  <c r="D421" i="2"/>
  <c r="C421" i="2"/>
  <c r="K420" i="2"/>
  <c r="L420" i="2" s="1"/>
  <c r="C420" i="2"/>
  <c r="A420" i="2"/>
  <c r="A422" i="2" s="1"/>
  <c r="F419" i="2"/>
  <c r="D419" i="2"/>
  <c r="C419" i="2"/>
  <c r="F418" i="2"/>
  <c r="D418" i="2"/>
  <c r="C418" i="2"/>
  <c r="C417" i="2"/>
  <c r="A417" i="2"/>
  <c r="A419" i="2" s="1"/>
  <c r="K416" i="2"/>
  <c r="L416" i="2" s="1"/>
  <c r="K415" i="2"/>
  <c r="L415" i="2" s="1"/>
  <c r="K414" i="2"/>
  <c r="L414" i="2" s="1"/>
  <c r="B413" i="2"/>
  <c r="A413" i="2"/>
  <c r="K412" i="2"/>
  <c r="L412" i="2" s="1"/>
  <c r="H411" i="2"/>
  <c r="D411" i="2"/>
  <c r="C411" i="2"/>
  <c r="E410" i="2"/>
  <c r="D410" i="2"/>
  <c r="C410" i="2"/>
  <c r="C409" i="2"/>
  <c r="F408" i="2"/>
  <c r="C408" i="2"/>
  <c r="F407" i="2"/>
  <c r="C407" i="2"/>
  <c r="F406" i="2"/>
  <c r="C406" i="2"/>
  <c r="K405" i="2"/>
  <c r="C405" i="2"/>
  <c r="A405" i="2"/>
  <c r="A409" i="2" s="1"/>
  <c r="F404" i="2"/>
  <c r="D404" i="2"/>
  <c r="C404" i="2"/>
  <c r="F403" i="2"/>
  <c r="D403" i="2"/>
  <c r="C403" i="2"/>
  <c r="F402" i="2"/>
  <c r="D402" i="2"/>
  <c r="C402" i="2"/>
  <c r="F401" i="2"/>
  <c r="D401" i="2"/>
  <c r="C401" i="2"/>
  <c r="F400" i="2"/>
  <c r="D400" i="2"/>
  <c r="C400" i="2"/>
  <c r="F399" i="2"/>
  <c r="D399" i="2"/>
  <c r="C399" i="2"/>
  <c r="F398" i="2"/>
  <c r="D398" i="2"/>
  <c r="C398" i="2"/>
  <c r="K397" i="2"/>
  <c r="L397" i="2" s="1"/>
  <c r="C397" i="2"/>
  <c r="A397" i="2"/>
  <c r="A404" i="2" s="1"/>
  <c r="F396" i="2"/>
  <c r="D396" i="2"/>
  <c r="C396" i="2"/>
  <c r="F395" i="2"/>
  <c r="D395" i="2"/>
  <c r="C395" i="2"/>
  <c r="F394" i="2"/>
  <c r="D394" i="2"/>
  <c r="C394" i="2"/>
  <c r="F393" i="2"/>
  <c r="D393" i="2"/>
  <c r="C393" i="2"/>
  <c r="K392" i="2"/>
  <c r="L392" i="2" s="1"/>
  <c r="C392" i="2"/>
  <c r="A392" i="2"/>
  <c r="A395" i="2" s="1"/>
  <c r="F391" i="2"/>
  <c r="D391" i="2"/>
  <c r="C391" i="2"/>
  <c r="K390" i="2"/>
  <c r="L390" i="2" s="1"/>
  <c r="C390" i="2"/>
  <c r="A390" i="2"/>
  <c r="A391" i="2" s="1"/>
  <c r="F389" i="2"/>
  <c r="D389" i="2"/>
  <c r="C389" i="2"/>
  <c r="F388" i="2"/>
  <c r="D388" i="2"/>
  <c r="C388" i="2"/>
  <c r="F387" i="2"/>
  <c r="D387" i="2"/>
  <c r="C387" i="2"/>
  <c r="K386" i="2"/>
  <c r="L386" i="2" s="1"/>
  <c r="C386" i="2"/>
  <c r="A386" i="2"/>
  <c r="A389" i="2" s="1"/>
  <c r="F385" i="2"/>
  <c r="D385" i="2"/>
  <c r="C385" i="2"/>
  <c r="F384" i="2"/>
  <c r="D384" i="2"/>
  <c r="C384" i="2"/>
  <c r="F383" i="2"/>
  <c r="D383" i="2"/>
  <c r="C383" i="2"/>
  <c r="D382" i="2"/>
  <c r="C382" i="2"/>
  <c r="F381" i="2"/>
  <c r="D381" i="2"/>
  <c r="C381" i="2"/>
  <c r="F380" i="2"/>
  <c r="D380" i="2"/>
  <c r="C380" i="2"/>
  <c r="K379" i="2"/>
  <c r="L379" i="2" s="1"/>
  <c r="C379" i="2"/>
  <c r="A379" i="2"/>
  <c r="A380" i="2" s="1"/>
  <c r="A381" i="2" s="1"/>
  <c r="A382" i="2" s="1"/>
  <c r="A383" i="2" s="1"/>
  <c r="A384" i="2" s="1"/>
  <c r="A385" i="2" s="1"/>
  <c r="F378" i="2"/>
  <c r="D378" i="2"/>
  <c r="C378" i="2"/>
  <c r="F377" i="2"/>
  <c r="D377" i="2"/>
  <c r="C377" i="2"/>
  <c r="K376" i="2"/>
  <c r="L376" i="2" s="1"/>
  <c r="C376" i="2"/>
  <c r="A376" i="2"/>
  <c r="A378" i="2" s="1"/>
  <c r="F375" i="2"/>
  <c r="D375" i="2"/>
  <c r="C375" i="2"/>
  <c r="F374" i="2"/>
  <c r="D374" i="2"/>
  <c r="C374" i="2"/>
  <c r="C373" i="2"/>
  <c r="A373" i="2"/>
  <c r="A375" i="2" s="1"/>
  <c r="K372" i="2"/>
  <c r="L372" i="2" s="1"/>
  <c r="K371" i="2"/>
  <c r="L371" i="2" s="1"/>
  <c r="K370" i="2"/>
  <c r="L370" i="2" s="1"/>
  <c r="B369" i="2"/>
  <c r="A369" i="2"/>
  <c r="K368" i="2"/>
  <c r="L368" i="2" s="1"/>
  <c r="H367" i="2"/>
  <c r="D367" i="2"/>
  <c r="C367" i="2"/>
  <c r="E366" i="2"/>
  <c r="D366" i="2"/>
  <c r="C366" i="2"/>
  <c r="F365" i="2"/>
  <c r="C365" i="2"/>
  <c r="C364" i="2"/>
  <c r="F363" i="2"/>
  <c r="C363" i="2"/>
  <c r="F362" i="2"/>
  <c r="C362" i="2"/>
  <c r="K361" i="2"/>
  <c r="C361" i="2"/>
  <c r="A361" i="2"/>
  <c r="A366" i="2" s="1"/>
  <c r="F360" i="2"/>
  <c r="D360" i="2"/>
  <c r="C360" i="2"/>
  <c r="F359" i="2"/>
  <c r="D359" i="2"/>
  <c r="C359" i="2"/>
  <c r="F358" i="2"/>
  <c r="D358" i="2"/>
  <c r="C358" i="2"/>
  <c r="F357" i="2"/>
  <c r="D357" i="2"/>
  <c r="C357" i="2"/>
  <c r="F356" i="2"/>
  <c r="D356" i="2"/>
  <c r="C356" i="2"/>
  <c r="F355" i="2"/>
  <c r="D355" i="2"/>
  <c r="C355" i="2"/>
  <c r="F354" i="2"/>
  <c r="D354" i="2"/>
  <c r="C354" i="2"/>
  <c r="K353" i="2"/>
  <c r="L353" i="2" s="1"/>
  <c r="C353" i="2"/>
  <c r="A353" i="2"/>
  <c r="A360" i="2" s="1"/>
  <c r="F352" i="2"/>
  <c r="D352" i="2"/>
  <c r="C352" i="2"/>
  <c r="F351" i="2"/>
  <c r="D351" i="2"/>
  <c r="C351" i="2"/>
  <c r="F350" i="2"/>
  <c r="D350" i="2"/>
  <c r="C350" i="2"/>
  <c r="F349" i="2"/>
  <c r="D349" i="2"/>
  <c r="C349" i="2"/>
  <c r="K348" i="2"/>
  <c r="L348" i="2" s="1"/>
  <c r="C348" i="2"/>
  <c r="A348" i="2"/>
  <c r="A351" i="2" s="1"/>
  <c r="F347" i="2"/>
  <c r="D347" i="2"/>
  <c r="C347" i="2"/>
  <c r="K346" i="2"/>
  <c r="L346" i="2" s="1"/>
  <c r="C346" i="2"/>
  <c r="A346" i="2"/>
  <c r="A347" i="2" s="1"/>
  <c r="F345" i="2"/>
  <c r="D345" i="2"/>
  <c r="C345" i="2"/>
  <c r="F344" i="2"/>
  <c r="D344" i="2"/>
  <c r="C344" i="2"/>
  <c r="F343" i="2"/>
  <c r="D343" i="2"/>
  <c r="C343" i="2"/>
  <c r="K342" i="2"/>
  <c r="L342" i="2" s="1"/>
  <c r="C342" i="2"/>
  <c r="A342" i="2"/>
  <c r="A345" i="2" s="1"/>
  <c r="F341" i="2"/>
  <c r="D341" i="2"/>
  <c r="C341" i="2"/>
  <c r="F340" i="2"/>
  <c r="D340" i="2"/>
  <c r="C340" i="2"/>
  <c r="F339" i="2"/>
  <c r="D339" i="2"/>
  <c r="C339" i="2"/>
  <c r="D338" i="2"/>
  <c r="C338" i="2"/>
  <c r="F337" i="2"/>
  <c r="D337" i="2"/>
  <c r="C337" i="2"/>
  <c r="F336" i="2"/>
  <c r="D336" i="2"/>
  <c r="C336" i="2"/>
  <c r="K335" i="2"/>
  <c r="L335" i="2" s="1"/>
  <c r="C335" i="2"/>
  <c r="A335" i="2"/>
  <c r="A336" i="2" s="1"/>
  <c r="A337" i="2" s="1"/>
  <c r="A338" i="2" s="1"/>
  <c r="A339" i="2" s="1"/>
  <c r="A340" i="2" s="1"/>
  <c r="A341" i="2" s="1"/>
  <c r="F334" i="2"/>
  <c r="D334" i="2"/>
  <c r="C334" i="2"/>
  <c r="F333" i="2"/>
  <c r="D333" i="2"/>
  <c r="C333" i="2"/>
  <c r="K332" i="2"/>
  <c r="L332" i="2" s="1"/>
  <c r="C332" i="2"/>
  <c r="A332" i="2"/>
  <c r="A334" i="2" s="1"/>
  <c r="F331" i="2"/>
  <c r="D331" i="2"/>
  <c r="C331" i="2"/>
  <c r="F330" i="2"/>
  <c r="D330" i="2"/>
  <c r="C330" i="2"/>
  <c r="C329" i="2"/>
  <c r="A329" i="2"/>
  <c r="A331" i="2" s="1"/>
  <c r="K328" i="2"/>
  <c r="L328" i="2" s="1"/>
  <c r="K327" i="2"/>
  <c r="L327" i="2" s="1"/>
  <c r="K326" i="2"/>
  <c r="L326" i="2" s="1"/>
  <c r="B325" i="2"/>
  <c r="A325" i="2"/>
  <c r="K324" i="2"/>
  <c r="L324" i="2" s="1"/>
  <c r="H323" i="2"/>
  <c r="D323" i="2"/>
  <c r="C323" i="2"/>
  <c r="E322" i="2"/>
  <c r="D322" i="2"/>
  <c r="C322" i="2"/>
  <c r="F321" i="2"/>
  <c r="C321" i="2"/>
  <c r="C320" i="2"/>
  <c r="A320" i="2"/>
  <c r="F319" i="2"/>
  <c r="C319" i="2"/>
  <c r="F318" i="2"/>
  <c r="C318" i="2"/>
  <c r="A318" i="2"/>
  <c r="K317" i="2"/>
  <c r="C317" i="2"/>
  <c r="A317" i="2"/>
  <c r="A321" i="2" s="1"/>
  <c r="F316" i="2"/>
  <c r="D316" i="2"/>
  <c r="C316" i="2"/>
  <c r="F315" i="2"/>
  <c r="D315" i="2"/>
  <c r="C315" i="2"/>
  <c r="F314" i="2"/>
  <c r="D314" i="2"/>
  <c r="C314" i="2"/>
  <c r="F313" i="2"/>
  <c r="D313" i="2"/>
  <c r="C313" i="2"/>
  <c r="F312" i="2"/>
  <c r="D312" i="2"/>
  <c r="C312" i="2"/>
  <c r="F311" i="2"/>
  <c r="D311" i="2"/>
  <c r="C311" i="2"/>
  <c r="F310" i="2"/>
  <c r="D310" i="2"/>
  <c r="C310" i="2"/>
  <c r="K309" i="2"/>
  <c r="L309" i="2" s="1"/>
  <c r="C309" i="2"/>
  <c r="A309" i="2"/>
  <c r="A316" i="2" s="1"/>
  <c r="F308" i="2"/>
  <c r="D308" i="2"/>
  <c r="C308" i="2"/>
  <c r="F307" i="2"/>
  <c r="D307" i="2"/>
  <c r="C307" i="2"/>
  <c r="F306" i="2"/>
  <c r="D306" i="2"/>
  <c r="C306" i="2"/>
  <c r="F305" i="2"/>
  <c r="D305" i="2"/>
  <c r="C305" i="2"/>
  <c r="K304" i="2"/>
  <c r="L304" i="2" s="1"/>
  <c r="C304" i="2"/>
  <c r="A304" i="2"/>
  <c r="A307" i="2" s="1"/>
  <c r="F303" i="2"/>
  <c r="D303" i="2"/>
  <c r="C303" i="2"/>
  <c r="K302" i="2"/>
  <c r="L302" i="2" s="1"/>
  <c r="C302" i="2"/>
  <c r="A302" i="2"/>
  <c r="A303" i="2" s="1"/>
  <c r="F301" i="2"/>
  <c r="D301" i="2"/>
  <c r="C301" i="2"/>
  <c r="F300" i="2"/>
  <c r="D300" i="2"/>
  <c r="C300" i="2"/>
  <c r="F299" i="2"/>
  <c r="D299" i="2"/>
  <c r="C299" i="2"/>
  <c r="L298" i="2"/>
  <c r="K298" i="2"/>
  <c r="C298" i="2"/>
  <c r="A298" i="2"/>
  <c r="A301" i="2" s="1"/>
  <c r="F297" i="2"/>
  <c r="D297" i="2"/>
  <c r="C297" i="2"/>
  <c r="F296" i="2"/>
  <c r="D296" i="2"/>
  <c r="C296" i="2"/>
  <c r="F295" i="2"/>
  <c r="D295" i="2"/>
  <c r="C295" i="2"/>
  <c r="D294" i="2"/>
  <c r="C294" i="2"/>
  <c r="F293" i="2"/>
  <c r="D293" i="2"/>
  <c r="C293" i="2"/>
  <c r="F292" i="2"/>
  <c r="D292" i="2"/>
  <c r="C292" i="2"/>
  <c r="K291" i="2"/>
  <c r="L291" i="2" s="1"/>
  <c r="C291" i="2"/>
  <c r="A291" i="2"/>
  <c r="A292" i="2" s="1"/>
  <c r="A293" i="2" s="1"/>
  <c r="A294" i="2" s="1"/>
  <c r="A295" i="2" s="1"/>
  <c r="A296" i="2" s="1"/>
  <c r="A297" i="2" s="1"/>
  <c r="F290" i="2"/>
  <c r="D290" i="2"/>
  <c r="C290" i="2"/>
  <c r="F289" i="2"/>
  <c r="D289" i="2"/>
  <c r="C289" i="2"/>
  <c r="K288" i="2"/>
  <c r="L288" i="2" s="1"/>
  <c r="C288" i="2"/>
  <c r="A288" i="2"/>
  <c r="A290" i="2" s="1"/>
  <c r="F287" i="2"/>
  <c r="D287" i="2"/>
  <c r="C287" i="2"/>
  <c r="F286" i="2"/>
  <c r="D286" i="2"/>
  <c r="C286" i="2"/>
  <c r="C285" i="2"/>
  <c r="A285" i="2"/>
  <c r="A287" i="2" s="1"/>
  <c r="K284" i="2"/>
  <c r="L284" i="2" s="1"/>
  <c r="K283" i="2"/>
  <c r="L283" i="2" s="1"/>
  <c r="K282" i="2"/>
  <c r="L282" i="2" s="1"/>
  <c r="B281" i="2"/>
  <c r="A281" i="2"/>
  <c r="K280" i="2"/>
  <c r="L280" i="2" s="1"/>
  <c r="H279" i="2"/>
  <c r="D279" i="2"/>
  <c r="C279" i="2"/>
  <c r="E278" i="2"/>
  <c r="D278" i="2"/>
  <c r="C278" i="2"/>
  <c r="C277" i="2"/>
  <c r="F276" i="2"/>
  <c r="C276" i="2"/>
  <c r="F275" i="2"/>
  <c r="C275" i="2"/>
  <c r="F274" i="2"/>
  <c r="C274" i="2"/>
  <c r="K273" i="2"/>
  <c r="C273" i="2"/>
  <c r="A273" i="2"/>
  <c r="A278" i="2" s="1"/>
  <c r="F272" i="2"/>
  <c r="D272" i="2"/>
  <c r="C272" i="2"/>
  <c r="F271" i="2"/>
  <c r="D271" i="2"/>
  <c r="C271" i="2"/>
  <c r="F270" i="2"/>
  <c r="D270" i="2"/>
  <c r="C270" i="2"/>
  <c r="F269" i="2"/>
  <c r="D269" i="2"/>
  <c r="C269" i="2"/>
  <c r="F268" i="2"/>
  <c r="D268" i="2"/>
  <c r="C268" i="2"/>
  <c r="F267" i="2"/>
  <c r="D267" i="2"/>
  <c r="C267" i="2"/>
  <c r="F266" i="2"/>
  <c r="D266" i="2"/>
  <c r="C266" i="2"/>
  <c r="K265" i="2"/>
  <c r="L265" i="2" s="1"/>
  <c r="C265" i="2"/>
  <c r="A265" i="2"/>
  <c r="A272" i="2" s="1"/>
  <c r="F264" i="2"/>
  <c r="D264" i="2"/>
  <c r="C264" i="2"/>
  <c r="F263" i="2"/>
  <c r="D263" i="2"/>
  <c r="C263" i="2"/>
  <c r="F262" i="2"/>
  <c r="D262" i="2"/>
  <c r="C262" i="2"/>
  <c r="F261" i="2"/>
  <c r="D261" i="2"/>
  <c r="C261" i="2"/>
  <c r="K260" i="2"/>
  <c r="L260" i="2" s="1"/>
  <c r="C260" i="2"/>
  <c r="A260" i="2"/>
  <c r="A263" i="2" s="1"/>
  <c r="F259" i="2"/>
  <c r="D259" i="2"/>
  <c r="C259" i="2"/>
  <c r="K258" i="2"/>
  <c r="L258" i="2" s="1"/>
  <c r="C258" i="2"/>
  <c r="A258" i="2"/>
  <c r="A259" i="2" s="1"/>
  <c r="F257" i="2"/>
  <c r="D257" i="2"/>
  <c r="C257" i="2"/>
  <c r="F256" i="2"/>
  <c r="D256" i="2"/>
  <c r="C256" i="2"/>
  <c r="F255" i="2"/>
  <c r="D255" i="2"/>
  <c r="C255" i="2"/>
  <c r="K254" i="2"/>
  <c r="L254" i="2" s="1"/>
  <c r="C254" i="2"/>
  <c r="A254" i="2"/>
  <c r="A257" i="2" s="1"/>
  <c r="F253" i="2"/>
  <c r="D253" i="2"/>
  <c r="C253" i="2"/>
  <c r="F252" i="2"/>
  <c r="D252" i="2"/>
  <c r="C252" i="2"/>
  <c r="F251" i="2"/>
  <c r="D251" i="2"/>
  <c r="C251" i="2"/>
  <c r="D250" i="2"/>
  <c r="C250" i="2"/>
  <c r="F249" i="2"/>
  <c r="D249" i="2"/>
  <c r="C249" i="2"/>
  <c r="F248" i="2"/>
  <c r="D248" i="2"/>
  <c r="C248" i="2"/>
  <c r="K247" i="2"/>
  <c r="L247" i="2" s="1"/>
  <c r="C247" i="2"/>
  <c r="A247" i="2"/>
  <c r="A248" i="2" s="1"/>
  <c r="A249" i="2" s="1"/>
  <c r="A250" i="2" s="1"/>
  <c r="A251" i="2" s="1"/>
  <c r="A252" i="2" s="1"/>
  <c r="A253" i="2" s="1"/>
  <c r="F246" i="2"/>
  <c r="D246" i="2"/>
  <c r="C246" i="2"/>
  <c r="F245" i="2"/>
  <c r="D245" i="2"/>
  <c r="C245" i="2"/>
  <c r="K244" i="2"/>
  <c r="L244" i="2" s="1"/>
  <c r="C244" i="2"/>
  <c r="A244" i="2"/>
  <c r="A246" i="2" s="1"/>
  <c r="F243" i="2"/>
  <c r="D243" i="2"/>
  <c r="C243" i="2"/>
  <c r="F242" i="2"/>
  <c r="F277" i="2" s="1"/>
  <c r="D242" i="2"/>
  <c r="C242" i="2"/>
  <c r="C241" i="2"/>
  <c r="A241" i="2"/>
  <c r="A243" i="2" s="1"/>
  <c r="K240" i="2"/>
  <c r="L240" i="2" s="1"/>
  <c r="K239" i="2"/>
  <c r="L239" i="2" s="1"/>
  <c r="K238" i="2"/>
  <c r="L238" i="2" s="1"/>
  <c r="B237" i="2"/>
  <c r="A237" i="2"/>
  <c r="K236" i="2"/>
  <c r="L236" i="2" s="1"/>
  <c r="H235" i="2"/>
  <c r="D235" i="2"/>
  <c r="C235" i="2"/>
  <c r="E234" i="2"/>
  <c r="D234" i="2"/>
  <c r="C234" i="2"/>
  <c r="C233" i="2"/>
  <c r="F232" i="2"/>
  <c r="C232" i="2"/>
  <c r="F231" i="2"/>
  <c r="C231" i="2"/>
  <c r="F230" i="2"/>
  <c r="C230" i="2"/>
  <c r="K229" i="2"/>
  <c r="C229" i="2"/>
  <c r="A229" i="2"/>
  <c r="A233" i="2" s="1"/>
  <c r="F228" i="2"/>
  <c r="D228" i="2"/>
  <c r="C228" i="2"/>
  <c r="F227" i="2"/>
  <c r="D227" i="2"/>
  <c r="C227" i="2"/>
  <c r="F226" i="2"/>
  <c r="D226" i="2"/>
  <c r="C226" i="2"/>
  <c r="F225" i="2"/>
  <c r="D225" i="2"/>
  <c r="C225" i="2"/>
  <c r="F224" i="2"/>
  <c r="D224" i="2"/>
  <c r="C224" i="2"/>
  <c r="F223" i="2"/>
  <c r="D223" i="2"/>
  <c r="C223" i="2"/>
  <c r="F222" i="2"/>
  <c r="D222" i="2"/>
  <c r="C222" i="2"/>
  <c r="K221" i="2"/>
  <c r="L221" i="2" s="1"/>
  <c r="C221" i="2"/>
  <c r="A221" i="2"/>
  <c r="A228" i="2" s="1"/>
  <c r="F220" i="2"/>
  <c r="D220" i="2"/>
  <c r="C220" i="2"/>
  <c r="F219" i="2"/>
  <c r="D219" i="2"/>
  <c r="C219" i="2"/>
  <c r="F218" i="2"/>
  <c r="D218" i="2"/>
  <c r="C218" i="2"/>
  <c r="F217" i="2"/>
  <c r="D217" i="2"/>
  <c r="C217" i="2"/>
  <c r="K216" i="2"/>
  <c r="L216" i="2" s="1"/>
  <c r="C216" i="2"/>
  <c r="A216" i="2"/>
  <c r="A219" i="2" s="1"/>
  <c r="F215" i="2"/>
  <c r="D215" i="2"/>
  <c r="C215" i="2"/>
  <c r="L214" i="2"/>
  <c r="K214" i="2"/>
  <c r="C214" i="2"/>
  <c r="A214" i="2"/>
  <c r="A215" i="2" s="1"/>
  <c r="F213" i="2"/>
  <c r="D213" i="2"/>
  <c r="C213" i="2"/>
  <c r="F212" i="2"/>
  <c r="D212" i="2"/>
  <c r="C212" i="2"/>
  <c r="F211" i="2"/>
  <c r="D211" i="2"/>
  <c r="C211" i="2"/>
  <c r="K210" i="2"/>
  <c r="L210" i="2" s="1"/>
  <c r="C210" i="2"/>
  <c r="A210" i="2"/>
  <c r="A213" i="2" s="1"/>
  <c r="F209" i="2"/>
  <c r="D209" i="2"/>
  <c r="C209" i="2"/>
  <c r="F208" i="2"/>
  <c r="D208" i="2"/>
  <c r="C208" i="2"/>
  <c r="F207" i="2"/>
  <c r="D207" i="2"/>
  <c r="C207" i="2"/>
  <c r="D206" i="2"/>
  <c r="C206" i="2"/>
  <c r="F205" i="2"/>
  <c r="D205" i="2"/>
  <c r="C205" i="2"/>
  <c r="F204" i="2"/>
  <c r="D204" i="2"/>
  <c r="C204" i="2"/>
  <c r="K203" i="2"/>
  <c r="L203" i="2" s="1"/>
  <c r="C203" i="2"/>
  <c r="A203" i="2"/>
  <c r="A204" i="2" s="1"/>
  <c r="A205" i="2" s="1"/>
  <c r="A206" i="2" s="1"/>
  <c r="A207" i="2" s="1"/>
  <c r="A208" i="2" s="1"/>
  <c r="A209" i="2" s="1"/>
  <c r="F202" i="2"/>
  <c r="D202" i="2"/>
  <c r="C202" i="2"/>
  <c r="F201" i="2"/>
  <c r="D201" i="2"/>
  <c r="C201" i="2"/>
  <c r="A201" i="2"/>
  <c r="K200" i="2"/>
  <c r="L200" i="2" s="1"/>
  <c r="C200" i="2"/>
  <c r="A200" i="2"/>
  <c r="A202" i="2" s="1"/>
  <c r="F199" i="2"/>
  <c r="D199" i="2"/>
  <c r="C199" i="2"/>
  <c r="F198" i="2"/>
  <c r="D198" i="2"/>
  <c r="C198" i="2"/>
  <c r="C197" i="2"/>
  <c r="A197" i="2"/>
  <c r="A199" i="2" s="1"/>
  <c r="K196" i="2"/>
  <c r="L196" i="2" s="1"/>
  <c r="K195" i="2"/>
  <c r="L195" i="2" s="1"/>
  <c r="K194" i="2"/>
  <c r="L194" i="2" s="1"/>
  <c r="B193" i="2"/>
  <c r="A193" i="2"/>
  <c r="K192" i="2"/>
  <c r="L192" i="2" s="1"/>
  <c r="H191" i="2"/>
  <c r="D191" i="2"/>
  <c r="C191" i="2"/>
  <c r="E190" i="2"/>
  <c r="D190" i="2"/>
  <c r="C190" i="2"/>
  <c r="F189" i="2"/>
  <c r="C189" i="2"/>
  <c r="C188" i="2"/>
  <c r="F187" i="2"/>
  <c r="C187" i="2"/>
  <c r="F186" i="2"/>
  <c r="C186" i="2"/>
  <c r="K185" i="2"/>
  <c r="C185" i="2"/>
  <c r="A185" i="2"/>
  <c r="A187" i="2" s="1"/>
  <c r="F184" i="2"/>
  <c r="D184" i="2"/>
  <c r="C184" i="2"/>
  <c r="F183" i="2"/>
  <c r="D183" i="2"/>
  <c r="C183" i="2"/>
  <c r="F182" i="2"/>
  <c r="D182" i="2"/>
  <c r="C182" i="2"/>
  <c r="F181" i="2"/>
  <c r="D181" i="2"/>
  <c r="C181" i="2"/>
  <c r="F180" i="2"/>
  <c r="D180" i="2"/>
  <c r="C180" i="2"/>
  <c r="F179" i="2"/>
  <c r="D179" i="2"/>
  <c r="C179" i="2"/>
  <c r="F178" i="2"/>
  <c r="D178" i="2"/>
  <c r="C178" i="2"/>
  <c r="K177" i="2"/>
  <c r="L177" i="2" s="1"/>
  <c r="C177" i="2"/>
  <c r="A177" i="2"/>
  <c r="A184" i="2" s="1"/>
  <c r="F176" i="2"/>
  <c r="D176" i="2"/>
  <c r="C176" i="2"/>
  <c r="F175" i="2"/>
  <c r="D175" i="2"/>
  <c r="C175" i="2"/>
  <c r="F174" i="2"/>
  <c r="D174" i="2"/>
  <c r="C174" i="2"/>
  <c r="F173" i="2"/>
  <c r="D173" i="2"/>
  <c r="C173" i="2"/>
  <c r="K172" i="2"/>
  <c r="L172" i="2" s="1"/>
  <c r="C172" i="2"/>
  <c r="A172" i="2"/>
  <c r="A175" i="2" s="1"/>
  <c r="F171" i="2"/>
  <c r="D171" i="2"/>
  <c r="C171" i="2"/>
  <c r="K170" i="2"/>
  <c r="L170" i="2" s="1"/>
  <c r="C170" i="2"/>
  <c r="A170" i="2"/>
  <c r="A171" i="2" s="1"/>
  <c r="F169" i="2"/>
  <c r="D169" i="2"/>
  <c r="C169" i="2"/>
  <c r="A169" i="2"/>
  <c r="F168" i="2"/>
  <c r="D168" i="2"/>
  <c r="C168" i="2"/>
  <c r="F167" i="2"/>
  <c r="D167" i="2"/>
  <c r="C167" i="2"/>
  <c r="A167" i="2"/>
  <c r="K166" i="2"/>
  <c r="L166" i="2" s="1"/>
  <c r="C166" i="2"/>
  <c r="A166" i="2"/>
  <c r="A168" i="2" s="1"/>
  <c r="F165" i="2"/>
  <c r="D165" i="2"/>
  <c r="C165" i="2"/>
  <c r="F164" i="2"/>
  <c r="D164" i="2"/>
  <c r="C164" i="2"/>
  <c r="F163" i="2"/>
  <c r="D163" i="2"/>
  <c r="C163" i="2"/>
  <c r="D162" i="2"/>
  <c r="C162" i="2"/>
  <c r="F161" i="2"/>
  <c r="D161" i="2"/>
  <c r="C161" i="2"/>
  <c r="F160" i="2"/>
  <c r="D160" i="2"/>
  <c r="C160" i="2"/>
  <c r="K159" i="2"/>
  <c r="L159" i="2" s="1"/>
  <c r="C159" i="2"/>
  <c r="A159" i="2"/>
  <c r="A160" i="2" s="1"/>
  <c r="A161" i="2" s="1"/>
  <c r="A162" i="2" s="1"/>
  <c r="A163" i="2" s="1"/>
  <c r="A164" i="2" s="1"/>
  <c r="A165" i="2" s="1"/>
  <c r="F158" i="2"/>
  <c r="D158" i="2"/>
  <c r="C158" i="2"/>
  <c r="F157" i="2"/>
  <c r="D157" i="2"/>
  <c r="C157" i="2"/>
  <c r="K156" i="2"/>
  <c r="L156" i="2" s="1"/>
  <c r="C156" i="2"/>
  <c r="A156" i="2"/>
  <c r="A158" i="2" s="1"/>
  <c r="F155" i="2"/>
  <c r="D155" i="2"/>
  <c r="C155" i="2"/>
  <c r="F154" i="2"/>
  <c r="D154" i="2"/>
  <c r="C154" i="2"/>
  <c r="C153" i="2"/>
  <c r="A153" i="2"/>
  <c r="A155" i="2" s="1"/>
  <c r="K152" i="2"/>
  <c r="L152" i="2" s="1"/>
  <c r="K151" i="2"/>
  <c r="L151" i="2" s="1"/>
  <c r="K150" i="2"/>
  <c r="L150" i="2" s="1"/>
  <c r="B149" i="2"/>
  <c r="A149" i="2"/>
  <c r="K148" i="2"/>
  <c r="L148" i="2" s="1"/>
  <c r="H147" i="2"/>
  <c r="D147" i="2"/>
  <c r="C147" i="2"/>
  <c r="E146" i="2"/>
  <c r="D146" i="2"/>
  <c r="C146" i="2"/>
  <c r="F145" i="2"/>
  <c r="C145" i="2"/>
  <c r="C144" i="2"/>
  <c r="F143" i="2"/>
  <c r="C143" i="2"/>
  <c r="F142" i="2"/>
  <c r="C142" i="2"/>
  <c r="K141" i="2"/>
  <c r="C141" i="2"/>
  <c r="A141" i="2"/>
  <c r="A145" i="2" s="1"/>
  <c r="F140" i="2"/>
  <c r="D140" i="2"/>
  <c r="C140" i="2"/>
  <c r="F139" i="2"/>
  <c r="D139" i="2"/>
  <c r="C139" i="2"/>
  <c r="F138" i="2"/>
  <c r="D138" i="2"/>
  <c r="C138" i="2"/>
  <c r="F137" i="2"/>
  <c r="D137" i="2"/>
  <c r="C137" i="2"/>
  <c r="F136" i="2"/>
  <c r="D136" i="2"/>
  <c r="C136" i="2"/>
  <c r="F135" i="2"/>
  <c r="D135" i="2"/>
  <c r="C135" i="2"/>
  <c r="F134" i="2"/>
  <c r="D134" i="2"/>
  <c r="C134" i="2"/>
  <c r="K133" i="2"/>
  <c r="L133" i="2" s="1"/>
  <c r="C133" i="2"/>
  <c r="A133" i="2"/>
  <c r="A140" i="2" s="1"/>
  <c r="F132" i="2"/>
  <c r="D132" i="2"/>
  <c r="C132" i="2"/>
  <c r="F131" i="2"/>
  <c r="D131" i="2"/>
  <c r="C131" i="2"/>
  <c r="F130" i="2"/>
  <c r="D130" i="2"/>
  <c r="C130" i="2"/>
  <c r="F129" i="2"/>
  <c r="D129" i="2"/>
  <c r="C129" i="2"/>
  <c r="K128" i="2"/>
  <c r="L128" i="2" s="1"/>
  <c r="C128" i="2"/>
  <c r="A128" i="2"/>
  <c r="A131" i="2" s="1"/>
  <c r="F127" i="2"/>
  <c r="D127" i="2"/>
  <c r="C127" i="2"/>
  <c r="K126" i="2"/>
  <c r="L126" i="2" s="1"/>
  <c r="C126" i="2"/>
  <c r="A126" i="2"/>
  <c r="A127" i="2" s="1"/>
  <c r="F125" i="2"/>
  <c r="D125" i="2"/>
  <c r="C125" i="2"/>
  <c r="F124" i="2"/>
  <c r="D124" i="2"/>
  <c r="C124" i="2"/>
  <c r="F123" i="2"/>
  <c r="D123" i="2"/>
  <c r="C123" i="2"/>
  <c r="L122" i="2"/>
  <c r="K122" i="2"/>
  <c r="C122" i="2"/>
  <c r="A122" i="2"/>
  <c r="A125" i="2" s="1"/>
  <c r="F121" i="2"/>
  <c r="D121" i="2"/>
  <c r="C121" i="2"/>
  <c r="F120" i="2"/>
  <c r="D120" i="2"/>
  <c r="C120" i="2"/>
  <c r="F119" i="2"/>
  <c r="D119" i="2"/>
  <c r="C119" i="2"/>
  <c r="D118" i="2"/>
  <c r="C118" i="2"/>
  <c r="F117" i="2"/>
  <c r="D117" i="2"/>
  <c r="C117" i="2"/>
  <c r="F116" i="2"/>
  <c r="D116" i="2"/>
  <c r="C116" i="2"/>
  <c r="K115" i="2"/>
  <c r="L115" i="2" s="1"/>
  <c r="C115" i="2"/>
  <c r="A115" i="2"/>
  <c r="A116" i="2" s="1"/>
  <c r="A117" i="2" s="1"/>
  <c r="A118" i="2" s="1"/>
  <c r="A119" i="2" s="1"/>
  <c r="A120" i="2" s="1"/>
  <c r="A121" i="2" s="1"/>
  <c r="F114" i="2"/>
  <c r="D114" i="2"/>
  <c r="C114" i="2"/>
  <c r="F113" i="2"/>
  <c r="D113" i="2"/>
  <c r="C113" i="2"/>
  <c r="K112" i="2"/>
  <c r="L112" i="2" s="1"/>
  <c r="C112" i="2"/>
  <c r="A112" i="2"/>
  <c r="A114" i="2" s="1"/>
  <c r="F111" i="2"/>
  <c r="D111" i="2"/>
  <c r="C111" i="2"/>
  <c r="F110" i="2"/>
  <c r="D110" i="2"/>
  <c r="C110" i="2"/>
  <c r="C109" i="2"/>
  <c r="A109" i="2"/>
  <c r="A111" i="2" s="1"/>
  <c r="K108" i="2"/>
  <c r="L108" i="2" s="1"/>
  <c r="K107" i="2"/>
  <c r="L107" i="2" s="1"/>
  <c r="K106" i="2"/>
  <c r="L106" i="2" s="1"/>
  <c r="B105" i="2"/>
  <c r="A105" i="2"/>
  <c r="K104" i="2"/>
  <c r="L104" i="2" s="1"/>
  <c r="H103" i="2"/>
  <c r="D103" i="2"/>
  <c r="C103" i="2"/>
  <c r="D102" i="2"/>
  <c r="C102" i="2"/>
  <c r="F101" i="2"/>
  <c r="C101" i="2"/>
  <c r="C100" i="2"/>
  <c r="F99" i="2"/>
  <c r="C99" i="2"/>
  <c r="F98" i="2"/>
  <c r="C98" i="2"/>
  <c r="K97" i="2"/>
  <c r="C97" i="2"/>
  <c r="A97" i="2"/>
  <c r="A101" i="2" s="1"/>
  <c r="F96" i="2"/>
  <c r="D96" i="2"/>
  <c r="C96" i="2"/>
  <c r="F95" i="2"/>
  <c r="D95" i="2"/>
  <c r="C95" i="2"/>
  <c r="F94" i="2"/>
  <c r="D94" i="2"/>
  <c r="C94" i="2"/>
  <c r="F93" i="2"/>
  <c r="D93" i="2"/>
  <c r="C93" i="2"/>
  <c r="F92" i="2"/>
  <c r="D92" i="2"/>
  <c r="C92" i="2"/>
  <c r="F91" i="2"/>
  <c r="D91" i="2"/>
  <c r="C91" i="2"/>
  <c r="F90" i="2"/>
  <c r="D90" i="2"/>
  <c r="C90" i="2"/>
  <c r="K89" i="2"/>
  <c r="L89" i="2" s="1"/>
  <c r="C89" i="2"/>
  <c r="A89" i="2"/>
  <c r="A96" i="2" s="1"/>
  <c r="F88" i="2"/>
  <c r="D88" i="2"/>
  <c r="C88" i="2"/>
  <c r="F87" i="2"/>
  <c r="D87" i="2"/>
  <c r="C87" i="2"/>
  <c r="F86" i="2"/>
  <c r="D86" i="2"/>
  <c r="C86" i="2"/>
  <c r="F85" i="2"/>
  <c r="D85" i="2"/>
  <c r="C85" i="2"/>
  <c r="K84" i="2"/>
  <c r="L84" i="2" s="1"/>
  <c r="C84" i="2"/>
  <c r="A84" i="2"/>
  <c r="A87" i="2" s="1"/>
  <c r="F83" i="2"/>
  <c r="D83" i="2"/>
  <c r="C83" i="2"/>
  <c r="L82" i="2"/>
  <c r="K82" i="2"/>
  <c r="C82" i="2"/>
  <c r="A82" i="2"/>
  <c r="A83" i="2" s="1"/>
  <c r="F81" i="2"/>
  <c r="D81" i="2"/>
  <c r="C81" i="2"/>
  <c r="F80" i="2"/>
  <c r="D80" i="2"/>
  <c r="C80" i="2"/>
  <c r="F79" i="2"/>
  <c r="D79" i="2"/>
  <c r="C79" i="2"/>
  <c r="K78" i="2"/>
  <c r="L78" i="2" s="1"/>
  <c r="C78" i="2"/>
  <c r="A78" i="2"/>
  <c r="A81" i="2" s="1"/>
  <c r="F77" i="2"/>
  <c r="D77" i="2"/>
  <c r="C77" i="2"/>
  <c r="F76" i="2"/>
  <c r="D76" i="2"/>
  <c r="C76" i="2"/>
  <c r="F75" i="2"/>
  <c r="D75" i="2"/>
  <c r="C75" i="2"/>
  <c r="D74" i="2"/>
  <c r="C74" i="2"/>
  <c r="F73" i="2"/>
  <c r="D73" i="2"/>
  <c r="C73" i="2"/>
  <c r="F72" i="2"/>
  <c r="D72" i="2"/>
  <c r="C72" i="2"/>
  <c r="K71" i="2"/>
  <c r="L71" i="2" s="1"/>
  <c r="C71" i="2"/>
  <c r="A71" i="2"/>
  <c r="A72" i="2" s="1"/>
  <c r="A73" i="2" s="1"/>
  <c r="A74" i="2" s="1"/>
  <c r="A75" i="2" s="1"/>
  <c r="A76" i="2" s="1"/>
  <c r="A77" i="2" s="1"/>
  <c r="F70" i="2"/>
  <c r="D70" i="2"/>
  <c r="C70" i="2"/>
  <c r="F69" i="2"/>
  <c r="D69" i="2"/>
  <c r="C69" i="2"/>
  <c r="K68" i="2"/>
  <c r="L68" i="2" s="1"/>
  <c r="C68" i="2"/>
  <c r="A68" i="2"/>
  <c r="A70" i="2" s="1"/>
  <c r="F67" i="2"/>
  <c r="D67" i="2"/>
  <c r="C67" i="2"/>
  <c r="F66" i="2"/>
  <c r="D66" i="2"/>
  <c r="C66" i="2"/>
  <c r="C65" i="2"/>
  <c r="A65" i="2"/>
  <c r="A67" i="2" s="1"/>
  <c r="K64" i="2"/>
  <c r="L64" i="2" s="1"/>
  <c r="K63" i="2"/>
  <c r="L63" i="2" s="1"/>
  <c r="K62" i="2"/>
  <c r="L62" i="2" s="1"/>
  <c r="B61" i="2"/>
  <c r="A61" i="2"/>
  <c r="K60" i="2"/>
  <c r="L60" i="2" s="1"/>
  <c r="H59" i="2"/>
  <c r="D59" i="2"/>
  <c r="C59" i="2"/>
  <c r="E58" i="2"/>
  <c r="D58" i="2"/>
  <c r="C58" i="2"/>
  <c r="A58" i="2"/>
  <c r="F57" i="2"/>
  <c r="C57" i="2"/>
  <c r="A57" i="2"/>
  <c r="C56" i="2"/>
  <c r="A56" i="2"/>
  <c r="F55" i="2"/>
  <c r="C55" i="2"/>
  <c r="A55" i="2"/>
  <c r="F54" i="2"/>
  <c r="C54" i="2"/>
  <c r="A54" i="2"/>
  <c r="K53" i="2"/>
  <c r="C53" i="2"/>
  <c r="F52" i="2"/>
  <c r="D52" i="2"/>
  <c r="C52" i="2"/>
  <c r="A52" i="2"/>
  <c r="F51" i="2"/>
  <c r="D51" i="2"/>
  <c r="C51" i="2"/>
  <c r="A51" i="2"/>
  <c r="F50" i="2"/>
  <c r="D50" i="2"/>
  <c r="C50" i="2"/>
  <c r="A50" i="2"/>
  <c r="F49" i="2"/>
  <c r="D49" i="2"/>
  <c r="C49" i="2"/>
  <c r="A49" i="2"/>
  <c r="F48" i="2"/>
  <c r="D48" i="2"/>
  <c r="C48" i="2"/>
  <c r="A48" i="2"/>
  <c r="F47" i="2"/>
  <c r="D47" i="2"/>
  <c r="C47" i="2"/>
  <c r="A47" i="2"/>
  <c r="F46" i="2"/>
  <c r="D46" i="2"/>
  <c r="C46" i="2"/>
  <c r="A46" i="2"/>
  <c r="K45" i="2"/>
  <c r="L45" i="2" s="1"/>
  <c r="C45" i="2"/>
  <c r="F44" i="2"/>
  <c r="D44" i="2"/>
  <c r="C44" i="2"/>
  <c r="F43" i="2"/>
  <c r="D43" i="2"/>
  <c r="C43" i="2"/>
  <c r="A43" i="2"/>
  <c r="F42" i="2"/>
  <c r="D42" i="2"/>
  <c r="C42" i="2"/>
  <c r="A42" i="2"/>
  <c r="A44" i="2" s="1"/>
  <c r="F41" i="2"/>
  <c r="D41" i="2"/>
  <c r="C41" i="2"/>
  <c r="A41" i="2"/>
  <c r="K40" i="2"/>
  <c r="L40" i="2" s="1"/>
  <c r="C40" i="2"/>
  <c r="F39" i="2"/>
  <c r="D39" i="2"/>
  <c r="C39" i="2"/>
  <c r="A39" i="2"/>
  <c r="K38" i="2"/>
  <c r="L38" i="2" s="1"/>
  <c r="C38" i="2"/>
  <c r="F37" i="2"/>
  <c r="D37" i="2"/>
  <c r="C37" i="2"/>
  <c r="A37" i="2"/>
  <c r="F36" i="2"/>
  <c r="D36" i="2"/>
  <c r="C36" i="2"/>
  <c r="A36" i="2"/>
  <c r="F35" i="2"/>
  <c r="D35" i="2"/>
  <c r="C35" i="2"/>
  <c r="A35" i="2"/>
  <c r="K34" i="2"/>
  <c r="L34" i="2" s="1"/>
  <c r="C34" i="2"/>
  <c r="F33" i="2"/>
  <c r="D33" i="2"/>
  <c r="C33" i="2"/>
  <c r="A33" i="2"/>
  <c r="F32" i="2"/>
  <c r="D32" i="2"/>
  <c r="C32" i="2"/>
  <c r="A32" i="2"/>
  <c r="F31" i="2"/>
  <c r="D31" i="2"/>
  <c r="C31" i="2"/>
  <c r="A31" i="2"/>
  <c r="D30" i="2"/>
  <c r="C30" i="2"/>
  <c r="A30" i="2"/>
  <c r="F29" i="2"/>
  <c r="D29" i="2"/>
  <c r="C29" i="2"/>
  <c r="A29" i="2"/>
  <c r="F28" i="2"/>
  <c r="D28" i="2"/>
  <c r="C28" i="2"/>
  <c r="A28" i="2"/>
  <c r="K27" i="2"/>
  <c r="L27" i="2" s="1"/>
  <c r="C27" i="2"/>
  <c r="F26" i="2"/>
  <c r="D26" i="2"/>
  <c r="C26" i="2"/>
  <c r="A26" i="2"/>
  <c r="F25" i="2"/>
  <c r="D25" i="2"/>
  <c r="C25" i="2"/>
  <c r="A25" i="2"/>
  <c r="K24" i="2"/>
  <c r="L24" i="2" s="1"/>
  <c r="C24" i="2"/>
  <c r="F23" i="2"/>
  <c r="D23" i="2"/>
  <c r="C23" i="2"/>
  <c r="A23" i="2"/>
  <c r="F22" i="2"/>
  <c r="F56" i="2" s="1"/>
  <c r="D22" i="2"/>
  <c r="C22" i="2"/>
  <c r="A22" i="2"/>
  <c r="C21" i="2"/>
  <c r="B17" i="2"/>
  <c r="A17" i="2"/>
  <c r="K16" i="2"/>
  <c r="L16" i="2" s="1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C5" i="2"/>
  <c r="N192" i="1"/>
  <c r="M192" i="1" s="1"/>
  <c r="K192" i="1"/>
  <c r="K191" i="1" s="1"/>
  <c r="J192" i="1"/>
  <c r="I192" i="1"/>
  <c r="E192" i="1"/>
  <c r="N191" i="1"/>
  <c r="I191" i="1"/>
  <c r="N190" i="1"/>
  <c r="M190" i="1" s="1"/>
  <c r="K190" i="1"/>
  <c r="I190" i="1"/>
  <c r="N189" i="1"/>
  <c r="M189" i="1"/>
  <c r="J189" i="1"/>
  <c r="K189" i="1" s="1"/>
  <c r="I189" i="1"/>
  <c r="N188" i="1"/>
  <c r="M188" i="1" s="1"/>
  <c r="J188" i="1"/>
  <c r="K188" i="1" s="1"/>
  <c r="I188" i="1"/>
  <c r="E188" i="1"/>
  <c r="N187" i="1"/>
  <c r="N186" i="1"/>
  <c r="M186" i="1" s="1"/>
  <c r="J186" i="1"/>
  <c r="K186" i="1" s="1"/>
  <c r="K185" i="1" s="1"/>
  <c r="I186" i="1"/>
  <c r="I185" i="1" s="1"/>
  <c r="N185" i="1"/>
  <c r="N184" i="1"/>
  <c r="M184" i="1" s="1"/>
  <c r="J184" i="1"/>
  <c r="K184" i="1" s="1"/>
  <c r="I184" i="1"/>
  <c r="N183" i="1"/>
  <c r="M183" i="1" s="1"/>
  <c r="J183" i="1"/>
  <c r="K183" i="1" s="1"/>
  <c r="I183" i="1"/>
  <c r="N182" i="1"/>
  <c r="N181" i="1"/>
  <c r="M181" i="1" s="1"/>
  <c r="K181" i="1"/>
  <c r="J181" i="1"/>
  <c r="I181" i="1"/>
  <c r="I180" i="1" s="1"/>
  <c r="N180" i="1"/>
  <c r="K180" i="1"/>
  <c r="N179" i="1"/>
  <c r="N178" i="1"/>
  <c r="N177" i="1"/>
  <c r="N176" i="1"/>
  <c r="N175" i="1"/>
  <c r="M175" i="1" s="1"/>
  <c r="J175" i="1"/>
  <c r="I175" i="1"/>
  <c r="I174" i="1" s="1"/>
  <c r="N174" i="1"/>
  <c r="K174" i="1"/>
  <c r="K184" i="2" s="1"/>
  <c r="L184" i="2" s="1"/>
  <c r="N173" i="1"/>
  <c r="M173" i="1" s="1"/>
  <c r="J173" i="1"/>
  <c r="E173" i="1"/>
  <c r="I173" i="1" s="1"/>
  <c r="I171" i="1" s="1"/>
  <c r="N172" i="1"/>
  <c r="M172" i="1" s="1"/>
  <c r="J172" i="1"/>
  <c r="I172" i="1"/>
  <c r="N171" i="1"/>
  <c r="K171" i="1"/>
  <c r="K183" i="2" s="1"/>
  <c r="L183" i="2" s="1"/>
  <c r="N170" i="1"/>
  <c r="M170" i="1" s="1"/>
  <c r="J170" i="1"/>
  <c r="E170" i="1"/>
  <c r="I170" i="1" s="1"/>
  <c r="N169" i="1"/>
  <c r="M169" i="1" s="1"/>
  <c r="J169" i="1"/>
  <c r="I169" i="1"/>
  <c r="N168" i="1"/>
  <c r="K168" i="1"/>
  <c r="K182" i="2" s="1"/>
  <c r="L182" i="2" s="1"/>
  <c r="N167" i="1"/>
  <c r="M167" i="1"/>
  <c r="J167" i="1"/>
  <c r="K167" i="1" s="1"/>
  <c r="E167" i="1"/>
  <c r="I167" i="1" s="1"/>
  <c r="N166" i="1"/>
  <c r="M166" i="1" s="1"/>
  <c r="J166" i="1"/>
  <c r="E166" i="1"/>
  <c r="I166" i="1" s="1"/>
  <c r="N165" i="1"/>
  <c r="M165" i="1" s="1"/>
  <c r="J165" i="1"/>
  <c r="N164" i="1"/>
  <c r="M164" i="1"/>
  <c r="J164" i="1"/>
  <c r="K164" i="1" s="1"/>
  <c r="E164" i="1"/>
  <c r="I164" i="1" s="1"/>
  <c r="N163" i="1"/>
  <c r="M163" i="1" s="1"/>
  <c r="J163" i="1"/>
  <c r="E163" i="1"/>
  <c r="I163" i="1" s="1"/>
  <c r="N162" i="1"/>
  <c r="N161" i="1"/>
  <c r="M161" i="1" s="1"/>
  <c r="K161" i="1"/>
  <c r="J161" i="1"/>
  <c r="I161" i="1"/>
  <c r="N160" i="1"/>
  <c r="M160" i="1"/>
  <c r="J160" i="1"/>
  <c r="K160" i="1" s="1"/>
  <c r="K159" i="1" s="1"/>
  <c r="I160" i="1"/>
  <c r="N159" i="1"/>
  <c r="N158" i="1"/>
  <c r="M158" i="1" s="1"/>
  <c r="J158" i="1"/>
  <c r="K158" i="1" s="1"/>
  <c r="I158" i="1"/>
  <c r="N157" i="1"/>
  <c r="M157" i="1" s="1"/>
  <c r="J157" i="1"/>
  <c r="K157" i="1" s="1"/>
  <c r="I157" i="1"/>
  <c r="N156" i="1"/>
  <c r="M156" i="1" s="1"/>
  <c r="J156" i="1"/>
  <c r="K156" i="1" s="1"/>
  <c r="I156" i="1"/>
  <c r="I154" i="1" s="1"/>
  <c r="N155" i="1"/>
  <c r="M155" i="1" s="1"/>
  <c r="J155" i="1"/>
  <c r="K155" i="1" s="1"/>
  <c r="I155" i="1"/>
  <c r="E155" i="1"/>
  <c r="N154" i="1"/>
  <c r="N153" i="1"/>
  <c r="M153" i="1" s="1"/>
  <c r="J153" i="1"/>
  <c r="K153" i="1" s="1"/>
  <c r="E153" i="1"/>
  <c r="I153" i="1" s="1"/>
  <c r="N152" i="1"/>
  <c r="M152" i="1"/>
  <c r="J152" i="1"/>
  <c r="K152" i="1" s="1"/>
  <c r="I152" i="1"/>
  <c r="N151" i="1"/>
  <c r="M151" i="1" s="1"/>
  <c r="J151" i="1"/>
  <c r="K151" i="1" s="1"/>
  <c r="I151" i="1"/>
  <c r="N150" i="1"/>
  <c r="M150" i="1" s="1"/>
  <c r="J150" i="1"/>
  <c r="K150" i="1" s="1"/>
  <c r="I150" i="1"/>
  <c r="N149" i="1"/>
  <c r="M149" i="1" s="1"/>
  <c r="J149" i="1"/>
  <c r="K149" i="1" s="1"/>
  <c r="I149" i="1"/>
  <c r="N148" i="1"/>
  <c r="N147" i="1"/>
  <c r="N146" i="1"/>
  <c r="N145" i="1"/>
  <c r="N144" i="1"/>
  <c r="N143" i="1"/>
  <c r="M143" i="1" s="1"/>
  <c r="K143" i="1"/>
  <c r="H143" i="1"/>
  <c r="I143" i="1" s="1"/>
  <c r="N142" i="1"/>
  <c r="M142" i="1"/>
  <c r="J142" i="1"/>
  <c r="N141" i="1"/>
  <c r="M141" i="1" s="1"/>
  <c r="J141" i="1"/>
  <c r="E141" i="1"/>
  <c r="I141" i="1" s="1"/>
  <c r="N140" i="1"/>
  <c r="M140" i="1" s="1"/>
  <c r="J140" i="1"/>
  <c r="K140" i="1" s="1"/>
  <c r="E140" i="1"/>
  <c r="I140" i="1" s="1"/>
  <c r="N139" i="1"/>
  <c r="N138" i="1"/>
  <c r="M138" i="1" s="1"/>
  <c r="J138" i="1"/>
  <c r="N137" i="1"/>
  <c r="M137" i="1" s="1"/>
  <c r="J137" i="1"/>
  <c r="E137" i="1"/>
  <c r="E138" i="1" s="1"/>
  <c r="N136" i="1"/>
  <c r="M136" i="1" s="1"/>
  <c r="K136" i="1"/>
  <c r="J136" i="1"/>
  <c r="I136" i="1"/>
  <c r="N135" i="1"/>
  <c r="M135" i="1"/>
  <c r="J135" i="1"/>
  <c r="K135" i="1" s="1"/>
  <c r="I135" i="1"/>
  <c r="N134" i="1"/>
  <c r="M134" i="1" s="1"/>
  <c r="J134" i="1"/>
  <c r="K134" i="1" s="1"/>
  <c r="E134" i="1"/>
  <c r="I134" i="1" s="1"/>
  <c r="N133" i="1"/>
  <c r="M133" i="1" s="1"/>
  <c r="K133" i="1"/>
  <c r="J133" i="1"/>
  <c r="E133" i="1"/>
  <c r="I133" i="1" s="1"/>
  <c r="N132" i="1"/>
  <c r="N131" i="1"/>
  <c r="M131" i="1" s="1"/>
  <c r="J131" i="1"/>
  <c r="K131" i="1" s="1"/>
  <c r="I131" i="1"/>
  <c r="N130" i="1"/>
  <c r="M130" i="1" s="1"/>
  <c r="J130" i="1"/>
  <c r="K130" i="1" s="1"/>
  <c r="I130" i="1"/>
  <c r="N129" i="1"/>
  <c r="M129" i="1" s="1"/>
  <c r="J129" i="1"/>
  <c r="K129" i="1" s="1"/>
  <c r="I129" i="1"/>
  <c r="N128" i="1"/>
  <c r="M128" i="1" s="1"/>
  <c r="K128" i="1"/>
  <c r="J128" i="1"/>
  <c r="I128" i="1"/>
  <c r="N127" i="1"/>
  <c r="M127" i="1"/>
  <c r="J127" i="1"/>
  <c r="K127" i="1" s="1"/>
  <c r="I127" i="1"/>
  <c r="N126" i="1"/>
  <c r="M126" i="1" s="1"/>
  <c r="J126" i="1"/>
  <c r="K126" i="1" s="1"/>
  <c r="I126" i="1"/>
  <c r="N125" i="1"/>
  <c r="M125" i="1" s="1"/>
  <c r="J125" i="1"/>
  <c r="K125" i="1" s="1"/>
  <c r="E125" i="1"/>
  <c r="I125" i="1" s="1"/>
  <c r="N124" i="1"/>
  <c r="M124" i="1" s="1"/>
  <c r="J124" i="1"/>
  <c r="K124" i="1" s="1"/>
  <c r="E124" i="1"/>
  <c r="I124" i="1" s="1"/>
  <c r="N123" i="1"/>
  <c r="N122" i="1"/>
  <c r="M122" i="1" s="1"/>
  <c r="K122" i="1"/>
  <c r="J122" i="1"/>
  <c r="I122" i="1"/>
  <c r="N121" i="1"/>
  <c r="M121" i="1" s="1"/>
  <c r="J121" i="1"/>
  <c r="K121" i="1" s="1"/>
  <c r="I121" i="1"/>
  <c r="N120" i="1"/>
  <c r="M120" i="1" s="1"/>
  <c r="K120" i="1"/>
  <c r="J120" i="1"/>
  <c r="I120" i="1"/>
  <c r="E120" i="1"/>
  <c r="N119" i="1"/>
  <c r="N118" i="1"/>
  <c r="N117" i="1"/>
  <c r="N116" i="1"/>
  <c r="N115" i="1"/>
  <c r="N114" i="1"/>
  <c r="M114" i="1" s="1"/>
  <c r="J114" i="1"/>
  <c r="K114" i="1" s="1"/>
  <c r="E114" i="1"/>
  <c r="I114" i="1" s="1"/>
  <c r="N113" i="1"/>
  <c r="M113" i="1" s="1"/>
  <c r="J113" i="1"/>
  <c r="K113" i="1" s="1"/>
  <c r="E113" i="1"/>
  <c r="I113" i="1" s="1"/>
  <c r="N112" i="1"/>
  <c r="M112" i="1" s="1"/>
  <c r="J112" i="1"/>
  <c r="K112" i="1" s="1"/>
  <c r="I112" i="1"/>
  <c r="N111" i="1"/>
  <c r="M111" i="1" s="1"/>
  <c r="J111" i="1"/>
  <c r="K111" i="1" s="1"/>
  <c r="K110" i="1" s="1"/>
  <c r="I111" i="1"/>
  <c r="E111" i="1"/>
  <c r="N110" i="1"/>
  <c r="N109" i="1"/>
  <c r="N108" i="1"/>
  <c r="N107" i="1"/>
  <c r="N106" i="1"/>
  <c r="N105" i="1"/>
  <c r="M105" i="1" s="1"/>
  <c r="J105" i="1"/>
  <c r="K105" i="1" s="1"/>
  <c r="E105" i="1"/>
  <c r="I105" i="1" s="1"/>
  <c r="N104" i="1"/>
  <c r="M104" i="1" s="1"/>
  <c r="J104" i="1"/>
  <c r="K104" i="1" s="1"/>
  <c r="E104" i="1"/>
  <c r="I104" i="1" s="1"/>
  <c r="N103" i="1"/>
  <c r="M103" i="1" s="1"/>
  <c r="J103" i="1"/>
  <c r="K103" i="1" s="1"/>
  <c r="E103" i="1"/>
  <c r="I103" i="1" s="1"/>
  <c r="N102" i="1"/>
  <c r="M102" i="1" s="1"/>
  <c r="J102" i="1"/>
  <c r="K102" i="1" s="1"/>
  <c r="E102" i="1"/>
  <c r="I102" i="1" s="1"/>
  <c r="N101" i="1"/>
  <c r="M101" i="1" s="1"/>
  <c r="J101" i="1"/>
  <c r="K101" i="1" s="1"/>
  <c r="E101" i="1"/>
  <c r="I101" i="1" s="1"/>
  <c r="N100" i="1"/>
  <c r="M100" i="1" s="1"/>
  <c r="K100" i="1"/>
  <c r="J100" i="1"/>
  <c r="I100" i="1"/>
  <c r="E100" i="1"/>
  <c r="N99" i="1"/>
  <c r="M99" i="1" s="1"/>
  <c r="J99" i="1"/>
  <c r="K99" i="1" s="1"/>
  <c r="K98" i="1" s="1"/>
  <c r="E99" i="1"/>
  <c r="I99" i="1" s="1"/>
  <c r="N98" i="1"/>
  <c r="N97" i="1"/>
  <c r="M97" i="1" s="1"/>
  <c r="J97" i="1"/>
  <c r="K97" i="1" s="1"/>
  <c r="E97" i="1"/>
  <c r="I97" i="1" s="1"/>
  <c r="N96" i="1"/>
  <c r="M96" i="1" s="1"/>
  <c r="J96" i="1"/>
  <c r="K96" i="1" s="1"/>
  <c r="E96" i="1"/>
  <c r="I96" i="1" s="1"/>
  <c r="N95" i="1"/>
  <c r="M95" i="1" s="1"/>
  <c r="J95" i="1"/>
  <c r="K95" i="1" s="1"/>
  <c r="E95" i="1"/>
  <c r="I95" i="1" s="1"/>
  <c r="N94" i="1"/>
  <c r="M94" i="1" s="1"/>
  <c r="J94" i="1"/>
  <c r="K94" i="1" s="1"/>
  <c r="E94" i="1"/>
  <c r="I94" i="1" s="1"/>
  <c r="N93" i="1"/>
  <c r="M93" i="1" s="1"/>
  <c r="K93" i="1"/>
  <c r="J93" i="1"/>
  <c r="I93" i="1"/>
  <c r="N92" i="1"/>
  <c r="N91" i="1"/>
  <c r="M91" i="1" s="1"/>
  <c r="J91" i="1"/>
  <c r="K91" i="1" s="1"/>
  <c r="E91" i="1"/>
  <c r="I91" i="1" s="1"/>
  <c r="N90" i="1"/>
  <c r="M90" i="1" s="1"/>
  <c r="K90" i="1"/>
  <c r="J90" i="1"/>
  <c r="I90" i="1"/>
  <c r="E90" i="1"/>
  <c r="N89" i="1"/>
  <c r="M89" i="1" s="1"/>
  <c r="J89" i="1"/>
  <c r="K89" i="1" s="1"/>
  <c r="E89" i="1"/>
  <c r="I89" i="1" s="1"/>
  <c r="N88" i="1"/>
  <c r="M88" i="1" s="1"/>
  <c r="K88" i="1"/>
  <c r="J88" i="1"/>
  <c r="I88" i="1"/>
  <c r="E88" i="1"/>
  <c r="N87" i="1"/>
  <c r="M87" i="1" s="1"/>
  <c r="J87" i="1"/>
  <c r="K87" i="1" s="1"/>
  <c r="E87" i="1"/>
  <c r="I87" i="1" s="1"/>
  <c r="N86" i="1"/>
  <c r="M86" i="1" s="1"/>
  <c r="J86" i="1"/>
  <c r="K86" i="1" s="1"/>
  <c r="I86" i="1"/>
  <c r="E86" i="1"/>
  <c r="N85" i="1"/>
  <c r="N84" i="1"/>
  <c r="N83" i="1"/>
  <c r="N82" i="1"/>
  <c r="N81" i="1"/>
  <c r="N80" i="1"/>
  <c r="M80" i="1" s="1"/>
  <c r="J80" i="1"/>
  <c r="K80" i="1" s="1"/>
  <c r="E80" i="1"/>
  <c r="I80" i="1" s="1"/>
  <c r="N79" i="1"/>
  <c r="M79" i="1"/>
  <c r="J79" i="1"/>
  <c r="E79" i="1"/>
  <c r="I79" i="1" s="1"/>
  <c r="N78" i="1"/>
  <c r="M78" i="1" s="1"/>
  <c r="J78" i="1"/>
  <c r="K78" i="1" s="1"/>
  <c r="I78" i="1"/>
  <c r="N77" i="1"/>
  <c r="N76" i="1"/>
  <c r="M76" i="1"/>
  <c r="J76" i="1"/>
  <c r="E76" i="1"/>
  <c r="I76" i="1" s="1"/>
  <c r="N75" i="1"/>
  <c r="M75" i="1"/>
  <c r="J75" i="1"/>
  <c r="E75" i="1"/>
  <c r="I75" i="1" s="1"/>
  <c r="N74" i="1"/>
  <c r="M74" i="1"/>
  <c r="J74" i="1"/>
  <c r="K74" i="1" s="1"/>
  <c r="I74" i="1"/>
  <c r="N73" i="1"/>
  <c r="N72" i="1"/>
  <c r="M72" i="1" s="1"/>
  <c r="J72" i="1"/>
  <c r="E72" i="1"/>
  <c r="I72" i="1" s="1"/>
  <c r="N71" i="1"/>
  <c r="M71" i="1"/>
  <c r="J71" i="1"/>
  <c r="K71" i="1" s="1"/>
  <c r="I71" i="1"/>
  <c r="N70" i="1"/>
  <c r="M70" i="1" s="1"/>
  <c r="J70" i="1"/>
  <c r="K70" i="1" s="1"/>
  <c r="I70" i="1"/>
  <c r="N69" i="1"/>
  <c r="N68" i="1"/>
  <c r="M68" i="1" s="1"/>
  <c r="J68" i="1"/>
  <c r="K68" i="1" s="1"/>
  <c r="E68" i="1"/>
  <c r="I68" i="1" s="1"/>
  <c r="N67" i="1"/>
  <c r="M67" i="1" s="1"/>
  <c r="J67" i="1"/>
  <c r="K67" i="1" s="1"/>
  <c r="K66" i="1" s="1"/>
  <c r="I67" i="1"/>
  <c r="N66" i="1"/>
  <c r="N65" i="1"/>
  <c r="M65" i="1" s="1"/>
  <c r="J65" i="1"/>
  <c r="K65" i="1" s="1"/>
  <c r="E65" i="1"/>
  <c r="I65" i="1" s="1"/>
  <c r="N64" i="1"/>
  <c r="M64" i="1" s="1"/>
  <c r="K64" i="1"/>
  <c r="J64" i="1"/>
  <c r="I64" i="1"/>
  <c r="N63" i="1"/>
  <c r="M63" i="1"/>
  <c r="J63" i="1"/>
  <c r="K63" i="1" s="1"/>
  <c r="I63" i="1"/>
  <c r="N62" i="1"/>
  <c r="N61" i="1"/>
  <c r="M61" i="1"/>
  <c r="J61" i="1"/>
  <c r="K61" i="1" s="1"/>
  <c r="K60" i="1" s="1"/>
  <c r="I61" i="1"/>
  <c r="I60" i="1" s="1"/>
  <c r="N60" i="1"/>
  <c r="N59" i="1"/>
  <c r="N58" i="1"/>
  <c r="N57" i="1"/>
  <c r="N56" i="1"/>
  <c r="N55" i="1"/>
  <c r="M55" i="1" s="1"/>
  <c r="J55" i="1"/>
  <c r="E55" i="1"/>
  <c r="I55" i="1" s="1"/>
  <c r="N54" i="1"/>
  <c r="M54" i="1"/>
  <c r="J54" i="1"/>
  <c r="K54" i="1" s="1"/>
  <c r="E54" i="1"/>
  <c r="I54" i="1" s="1"/>
  <c r="N53" i="1"/>
  <c r="M53" i="1"/>
  <c r="J53" i="1"/>
  <c r="K53" i="1" s="1"/>
  <c r="I53" i="1"/>
  <c r="N52" i="1"/>
  <c r="N51" i="1"/>
  <c r="M51" i="1"/>
  <c r="J51" i="1"/>
  <c r="E51" i="1"/>
  <c r="I51" i="1" s="1"/>
  <c r="N50" i="1"/>
  <c r="M50" i="1"/>
  <c r="J50" i="1"/>
  <c r="E50" i="1"/>
  <c r="I50" i="1" s="1"/>
  <c r="N49" i="1"/>
  <c r="M49" i="1"/>
  <c r="J49" i="1"/>
  <c r="E49" i="1"/>
  <c r="I49" i="1" s="1"/>
  <c r="N48" i="1"/>
  <c r="M48" i="1"/>
  <c r="J48" i="1"/>
  <c r="E48" i="1"/>
  <c r="I48" i="1" s="1"/>
  <c r="N42" i="1"/>
  <c r="M42" i="1" s="1"/>
  <c r="K42" i="1"/>
  <c r="J42" i="1"/>
  <c r="E42" i="1"/>
  <c r="I42" i="1" s="1"/>
  <c r="N41" i="1"/>
  <c r="M41" i="1" s="1"/>
  <c r="J41" i="1"/>
  <c r="K41" i="1" s="1"/>
  <c r="E41" i="1"/>
  <c r="I41" i="1" s="1"/>
  <c r="N40" i="1"/>
  <c r="M40" i="1" s="1"/>
  <c r="J40" i="1"/>
  <c r="K40" i="1" s="1"/>
  <c r="I40" i="1"/>
  <c r="E40" i="1"/>
  <c r="N39" i="1"/>
  <c r="M39" i="1" s="1"/>
  <c r="J39" i="1"/>
  <c r="K39" i="1" s="1"/>
  <c r="I39" i="1"/>
  <c r="N37" i="1"/>
  <c r="M37" i="1" s="1"/>
  <c r="J37" i="1"/>
  <c r="K37" i="1" s="1"/>
  <c r="I37" i="1"/>
  <c r="N36" i="1"/>
  <c r="M36" i="1" s="1"/>
  <c r="J36" i="1"/>
  <c r="K36" i="1" s="1"/>
  <c r="K35" i="1" s="1"/>
  <c r="I36" i="1"/>
  <c r="N29" i="1"/>
  <c r="M29" i="1"/>
  <c r="K29" i="1"/>
  <c r="I29" i="1"/>
  <c r="I28" i="1" s="1"/>
  <c r="G15" i="3" s="1"/>
  <c r="H15" i="3" s="1"/>
  <c r="K28" i="1"/>
  <c r="K15" i="3" s="1"/>
  <c r="L15" i="3" s="1"/>
  <c r="N27" i="1"/>
  <c r="M27" i="1"/>
  <c r="J27" i="1"/>
  <c r="K27" i="1" s="1"/>
  <c r="K26" i="1" s="1"/>
  <c r="I27" i="1"/>
  <c r="I26" i="1" s="1"/>
  <c r="G14" i="3" s="1"/>
  <c r="H14" i="3" s="1"/>
  <c r="N25" i="1"/>
  <c r="M25" i="1" s="1"/>
  <c r="J25" i="1"/>
  <c r="K25" i="1" s="1"/>
  <c r="K24" i="1" s="1"/>
  <c r="I25" i="1"/>
  <c r="I24" i="1" s="1"/>
  <c r="G13" i="3" s="1"/>
  <c r="H13" i="3" s="1"/>
  <c r="K23" i="1"/>
  <c r="K22" i="1" s="1"/>
  <c r="K12" i="3" s="1"/>
  <c r="L12" i="3" s="1"/>
  <c r="I23" i="1"/>
  <c r="I22" i="1" s="1"/>
  <c r="N21" i="1"/>
  <c r="M21" i="1" s="1"/>
  <c r="J21" i="1"/>
  <c r="K21" i="1" s="1"/>
  <c r="I21" i="1"/>
  <c r="N20" i="1"/>
  <c r="M20" i="1"/>
  <c r="K20" i="1"/>
  <c r="I20" i="1"/>
  <c r="N19" i="1"/>
  <c r="M19" i="1" s="1"/>
  <c r="K19" i="1"/>
  <c r="J19" i="1"/>
  <c r="I19" i="1"/>
  <c r="N17" i="1"/>
  <c r="M17" i="1" s="1"/>
  <c r="J17" i="1"/>
  <c r="K17" i="1" s="1"/>
  <c r="E17" i="1"/>
  <c r="I17" i="1" s="1"/>
  <c r="N16" i="1"/>
  <c r="M16" i="1" s="1"/>
  <c r="J16" i="1"/>
  <c r="K16" i="1" s="1"/>
  <c r="I16" i="1"/>
  <c r="E16" i="1"/>
  <c r="N14" i="1"/>
  <c r="M14" i="1" s="1"/>
  <c r="J14" i="1"/>
  <c r="K14" i="1" s="1"/>
  <c r="I14" i="1"/>
  <c r="N13" i="1"/>
  <c r="M13" i="1"/>
  <c r="J13" i="1"/>
  <c r="K13" i="1" s="1"/>
  <c r="I13" i="1"/>
  <c r="N11" i="1"/>
  <c r="M11" i="1" s="1"/>
  <c r="K11" i="1"/>
  <c r="K10" i="1" s="1"/>
  <c r="J11" i="1"/>
  <c r="I11" i="1"/>
  <c r="I10" i="1" s="1"/>
  <c r="G8" i="3" s="1"/>
  <c r="H8" i="3" s="1"/>
  <c r="N9" i="1"/>
  <c r="M9" i="1"/>
  <c r="J9" i="1"/>
  <c r="K9" i="1" s="1"/>
  <c r="K8" i="1" s="1"/>
  <c r="I9" i="1"/>
  <c r="I8" i="1" s="1"/>
  <c r="G7" i="3" s="1"/>
  <c r="H7" i="3" s="1"/>
  <c r="N7" i="1"/>
  <c r="M7" i="1" s="1"/>
  <c r="J7" i="1"/>
  <c r="K7" i="1" s="1"/>
  <c r="K6" i="1" s="1"/>
  <c r="I7" i="1"/>
  <c r="I6" i="1" s="1"/>
  <c r="G6" i="3" s="1"/>
  <c r="H6" i="3" s="1"/>
  <c r="I69" i="1" l="1"/>
  <c r="I18" i="1"/>
  <c r="G11" i="3" s="1"/>
  <c r="H11" i="3" s="1"/>
  <c r="I159" i="1"/>
  <c r="I119" i="1"/>
  <c r="I62" i="1"/>
  <c r="K85" i="1"/>
  <c r="K15" i="1"/>
  <c r="K10" i="3" s="1"/>
  <c r="L10" i="3" s="1"/>
  <c r="K38" i="1"/>
  <c r="K639" i="3" s="1"/>
  <c r="L639" i="3" s="1"/>
  <c r="K166" i="1"/>
  <c r="A102" i="2"/>
  <c r="A146" i="2"/>
  <c r="A174" i="2"/>
  <c r="A176" i="2" s="1"/>
  <c r="A234" i="2"/>
  <c r="A408" i="2"/>
  <c r="A498" i="2"/>
  <c r="A659" i="2"/>
  <c r="A322" i="3"/>
  <c r="A406" i="3"/>
  <c r="A487" i="3"/>
  <c r="A490" i="3"/>
  <c r="K18" i="1"/>
  <c r="K49" i="1"/>
  <c r="K62" i="1"/>
  <c r="K75" i="1"/>
  <c r="K73" i="1" s="1"/>
  <c r="K92" i="1"/>
  <c r="K300" i="3" s="1"/>
  <c r="L300" i="3" s="1"/>
  <c r="I47" i="1"/>
  <c r="G509" i="3" s="1"/>
  <c r="H509" i="3" s="1"/>
  <c r="K79" i="1"/>
  <c r="K77" i="1" s="1"/>
  <c r="K12" i="1"/>
  <c r="K48" i="1"/>
  <c r="K51" i="1"/>
  <c r="K55" i="1"/>
  <c r="K52" i="1" s="1"/>
  <c r="K72" i="1"/>
  <c r="K69" i="1" s="1"/>
  <c r="I35" i="1"/>
  <c r="G110" i="2" s="1"/>
  <c r="H110" i="2" s="1"/>
  <c r="K50" i="1"/>
  <c r="K76" i="1"/>
  <c r="K163" i="1"/>
  <c r="K182" i="1"/>
  <c r="F100" i="2"/>
  <c r="F144" i="2"/>
  <c r="F364" i="2"/>
  <c r="A406" i="2"/>
  <c r="A232" i="3"/>
  <c r="A452" i="3"/>
  <c r="I137" i="1"/>
  <c r="K141" i="1"/>
  <c r="I182" i="1"/>
  <c r="G363" i="3" s="1"/>
  <c r="H363" i="3" s="1"/>
  <c r="I187" i="1"/>
  <c r="A100" i="2"/>
  <c r="A144" i="2"/>
  <c r="A173" i="2"/>
  <c r="A189" i="2"/>
  <c r="A232" i="2"/>
  <c r="A322" i="2"/>
  <c r="A496" i="2"/>
  <c r="A586" i="2"/>
  <c r="A630" i="2"/>
  <c r="A658" i="2"/>
  <c r="A660" i="2" s="1"/>
  <c r="A146" i="3"/>
  <c r="A230" i="3"/>
  <c r="F276" i="3"/>
  <c r="F320" i="3"/>
  <c r="A450" i="3"/>
  <c r="A486" i="3"/>
  <c r="A489" i="3"/>
  <c r="A492" i="3"/>
  <c r="F540" i="3"/>
  <c r="A672" i="3"/>
  <c r="K148" i="1"/>
  <c r="I168" i="1"/>
  <c r="G534" i="3" s="1"/>
  <c r="H534" i="3" s="1"/>
  <c r="A98" i="2"/>
  <c r="A142" i="2"/>
  <c r="F233" i="2"/>
  <c r="A230" i="2"/>
  <c r="F320" i="2"/>
  <c r="F409" i="2"/>
  <c r="F452" i="2"/>
  <c r="A494" i="2"/>
  <c r="A410" i="3"/>
  <c r="F452" i="3"/>
  <c r="A670" i="3"/>
  <c r="I123" i="1"/>
  <c r="G394" i="3" s="1"/>
  <c r="H394" i="3" s="1"/>
  <c r="K137" i="1"/>
  <c r="I148" i="1"/>
  <c r="A410" i="2"/>
  <c r="F57" i="3"/>
  <c r="F144" i="3"/>
  <c r="H411" i="3"/>
  <c r="F407" i="3" s="1"/>
  <c r="F496" i="3"/>
  <c r="A488" i="3"/>
  <c r="F584" i="3"/>
  <c r="A586" i="3"/>
  <c r="K123" i="1"/>
  <c r="A234" i="3"/>
  <c r="A454" i="3"/>
  <c r="K187" i="1"/>
  <c r="I110" i="1"/>
  <c r="G523" i="3" s="1"/>
  <c r="H523" i="3" s="1"/>
  <c r="I98" i="1"/>
  <c r="I85" i="1"/>
  <c r="I77" i="1"/>
  <c r="G297" i="3" s="1"/>
  <c r="H297" i="3" s="1"/>
  <c r="I73" i="1"/>
  <c r="G296" i="3" s="1"/>
  <c r="H296" i="3" s="1"/>
  <c r="I66" i="1"/>
  <c r="I52" i="1"/>
  <c r="I38" i="1"/>
  <c r="G111" i="2" s="1"/>
  <c r="H111" i="2" s="1"/>
  <c r="I15" i="1"/>
  <c r="I12" i="1"/>
  <c r="G9" i="3" s="1"/>
  <c r="H9" i="3" s="1"/>
  <c r="K9" i="3"/>
  <c r="L9" i="3" s="1"/>
  <c r="K9" i="2"/>
  <c r="L9" i="2" s="1"/>
  <c r="K13" i="3"/>
  <c r="L13" i="3" s="1"/>
  <c r="K13" i="2"/>
  <c r="L13" i="2" s="1"/>
  <c r="K638" i="3"/>
  <c r="L638" i="3" s="1"/>
  <c r="K594" i="3"/>
  <c r="L594" i="3" s="1"/>
  <c r="K506" i="3"/>
  <c r="L506" i="3" s="1"/>
  <c r="K550" i="3"/>
  <c r="L550" i="3" s="1"/>
  <c r="K462" i="3"/>
  <c r="L462" i="3" s="1"/>
  <c r="K418" i="3"/>
  <c r="L418" i="3" s="1"/>
  <c r="K330" i="3"/>
  <c r="L330" i="3" s="1"/>
  <c r="K374" i="3"/>
  <c r="L374" i="3" s="1"/>
  <c r="K286" i="3"/>
  <c r="L286" i="3" s="1"/>
  <c r="K198" i="3"/>
  <c r="L198" i="3" s="1"/>
  <c r="K110" i="3"/>
  <c r="L110" i="3" s="1"/>
  <c r="K638" i="2"/>
  <c r="L638" i="2" s="1"/>
  <c r="K242" i="3"/>
  <c r="L242" i="3" s="1"/>
  <c r="K154" i="3"/>
  <c r="L154" i="3" s="1"/>
  <c r="K66" i="3"/>
  <c r="L66" i="3" s="1"/>
  <c r="K22" i="3"/>
  <c r="L22" i="3" s="1"/>
  <c r="K594" i="2"/>
  <c r="L594" i="2" s="1"/>
  <c r="K506" i="2"/>
  <c r="L506" i="2" s="1"/>
  <c r="K418" i="2"/>
  <c r="L418" i="2" s="1"/>
  <c r="K330" i="2"/>
  <c r="L330" i="2" s="1"/>
  <c r="K242" i="2"/>
  <c r="L242" i="2" s="1"/>
  <c r="K154" i="2"/>
  <c r="L154" i="2" s="1"/>
  <c r="K550" i="2"/>
  <c r="L550" i="2" s="1"/>
  <c r="K462" i="2"/>
  <c r="L462" i="2" s="1"/>
  <c r="K374" i="2"/>
  <c r="L374" i="2" s="1"/>
  <c r="K286" i="2"/>
  <c r="L286" i="2" s="1"/>
  <c r="K110" i="2"/>
  <c r="L110" i="2" s="1"/>
  <c r="K66" i="2"/>
  <c r="L66" i="2" s="1"/>
  <c r="K22" i="2"/>
  <c r="L22" i="2" s="1"/>
  <c r="K198" i="2"/>
  <c r="L198" i="2" s="1"/>
  <c r="G641" i="3"/>
  <c r="H641" i="3" s="1"/>
  <c r="G597" i="3"/>
  <c r="H597" i="3" s="1"/>
  <c r="G421" i="3"/>
  <c r="H421" i="3" s="1"/>
  <c r="G333" i="3"/>
  <c r="H333" i="3" s="1"/>
  <c r="G377" i="3"/>
  <c r="H377" i="3" s="1"/>
  <c r="G25" i="3"/>
  <c r="H25" i="3" s="1"/>
  <c r="G641" i="2"/>
  <c r="H641" i="2" s="1"/>
  <c r="G245" i="3"/>
  <c r="H245" i="3" s="1"/>
  <c r="G509" i="2"/>
  <c r="H509" i="2" s="1"/>
  <c r="G421" i="2"/>
  <c r="H421" i="2" s="1"/>
  <c r="G333" i="2"/>
  <c r="H333" i="2" s="1"/>
  <c r="G465" i="2"/>
  <c r="H465" i="2" s="1"/>
  <c r="G377" i="2"/>
  <c r="H377" i="2" s="1"/>
  <c r="G289" i="2"/>
  <c r="H289" i="2" s="1"/>
  <c r="G25" i="2"/>
  <c r="H25" i="2" s="1"/>
  <c r="K644" i="3"/>
  <c r="L644" i="3" s="1"/>
  <c r="K600" i="3"/>
  <c r="L600" i="3" s="1"/>
  <c r="K512" i="3"/>
  <c r="L512" i="3" s="1"/>
  <c r="K556" i="3"/>
  <c r="L556" i="3" s="1"/>
  <c r="K468" i="3"/>
  <c r="L468" i="3" s="1"/>
  <c r="K424" i="3"/>
  <c r="L424" i="3" s="1"/>
  <c r="K336" i="3"/>
  <c r="L336" i="3" s="1"/>
  <c r="K380" i="3"/>
  <c r="L380" i="3" s="1"/>
  <c r="K292" i="3"/>
  <c r="L292" i="3" s="1"/>
  <c r="K204" i="3"/>
  <c r="L204" i="3" s="1"/>
  <c r="K116" i="3"/>
  <c r="L116" i="3" s="1"/>
  <c r="K644" i="2"/>
  <c r="L644" i="2" s="1"/>
  <c r="K248" i="3"/>
  <c r="L248" i="3" s="1"/>
  <c r="K160" i="3"/>
  <c r="L160" i="3" s="1"/>
  <c r="K72" i="3"/>
  <c r="L72" i="3" s="1"/>
  <c r="K28" i="3"/>
  <c r="L28" i="3" s="1"/>
  <c r="K512" i="2"/>
  <c r="L512" i="2" s="1"/>
  <c r="K424" i="2"/>
  <c r="L424" i="2" s="1"/>
  <c r="K336" i="2"/>
  <c r="L336" i="2" s="1"/>
  <c r="K248" i="2"/>
  <c r="L248" i="2" s="1"/>
  <c r="K160" i="2"/>
  <c r="L160" i="2" s="1"/>
  <c r="K600" i="2"/>
  <c r="L600" i="2" s="1"/>
  <c r="K556" i="2"/>
  <c r="L556" i="2" s="1"/>
  <c r="K468" i="2"/>
  <c r="L468" i="2" s="1"/>
  <c r="K380" i="2"/>
  <c r="L380" i="2" s="1"/>
  <c r="K292" i="2"/>
  <c r="L292" i="2" s="1"/>
  <c r="K116" i="2"/>
  <c r="L116" i="2" s="1"/>
  <c r="K72" i="2"/>
  <c r="L72" i="2" s="1"/>
  <c r="K28" i="2"/>
  <c r="L28" i="2" s="1"/>
  <c r="K204" i="2"/>
  <c r="L204" i="2" s="1"/>
  <c r="K645" i="3"/>
  <c r="L645" i="3" s="1"/>
  <c r="K601" i="3"/>
  <c r="L601" i="3" s="1"/>
  <c r="K513" i="3"/>
  <c r="L513" i="3" s="1"/>
  <c r="K557" i="3"/>
  <c r="L557" i="3" s="1"/>
  <c r="K469" i="3"/>
  <c r="L469" i="3" s="1"/>
  <c r="K425" i="3"/>
  <c r="L425" i="3" s="1"/>
  <c r="K337" i="3"/>
  <c r="L337" i="3" s="1"/>
  <c r="K381" i="3"/>
  <c r="L381" i="3" s="1"/>
  <c r="K293" i="3"/>
  <c r="L293" i="3" s="1"/>
  <c r="K205" i="3"/>
  <c r="L205" i="3" s="1"/>
  <c r="K117" i="3"/>
  <c r="L117" i="3" s="1"/>
  <c r="K645" i="2"/>
  <c r="L645" i="2" s="1"/>
  <c r="K249" i="3"/>
  <c r="L249" i="3" s="1"/>
  <c r="K161" i="3"/>
  <c r="L161" i="3" s="1"/>
  <c r="K73" i="3"/>
  <c r="L73" i="3" s="1"/>
  <c r="K29" i="3"/>
  <c r="L29" i="3" s="1"/>
  <c r="K513" i="2"/>
  <c r="L513" i="2" s="1"/>
  <c r="K425" i="2"/>
  <c r="L425" i="2" s="1"/>
  <c r="K337" i="2"/>
  <c r="L337" i="2" s="1"/>
  <c r="K249" i="2"/>
  <c r="L249" i="2" s="1"/>
  <c r="K161" i="2"/>
  <c r="L161" i="2" s="1"/>
  <c r="K601" i="2"/>
  <c r="L601" i="2" s="1"/>
  <c r="K557" i="2"/>
  <c r="L557" i="2" s="1"/>
  <c r="K469" i="2"/>
  <c r="L469" i="2" s="1"/>
  <c r="K381" i="2"/>
  <c r="L381" i="2" s="1"/>
  <c r="K293" i="2"/>
  <c r="L293" i="2" s="1"/>
  <c r="K117" i="2"/>
  <c r="L117" i="2" s="1"/>
  <c r="K73" i="2"/>
  <c r="L73" i="2" s="1"/>
  <c r="K29" i="2"/>
  <c r="L29" i="2" s="1"/>
  <c r="K205" i="2"/>
  <c r="L205" i="2" s="1"/>
  <c r="G646" i="3"/>
  <c r="H646" i="3" s="1"/>
  <c r="G558" i="3"/>
  <c r="H558" i="3" s="1"/>
  <c r="G602" i="3"/>
  <c r="H602" i="3" s="1"/>
  <c r="G514" i="3"/>
  <c r="H514" i="3" s="1"/>
  <c r="G382" i="3"/>
  <c r="H382" i="3" s="1"/>
  <c r="G294" i="3"/>
  <c r="H294" i="3" s="1"/>
  <c r="G470" i="3"/>
  <c r="H470" i="3" s="1"/>
  <c r="G426" i="3"/>
  <c r="H426" i="3" s="1"/>
  <c r="G338" i="3"/>
  <c r="H338" i="3" s="1"/>
  <c r="G250" i="3"/>
  <c r="H250" i="3" s="1"/>
  <c r="G162" i="3"/>
  <c r="H162" i="3" s="1"/>
  <c r="G74" i="3"/>
  <c r="H74" i="3" s="1"/>
  <c r="G30" i="3"/>
  <c r="H30" i="3" s="1"/>
  <c r="G602" i="2"/>
  <c r="H602" i="2" s="1"/>
  <c r="G206" i="3"/>
  <c r="H206" i="3" s="1"/>
  <c r="G118" i="3"/>
  <c r="H118" i="3" s="1"/>
  <c r="G646" i="2"/>
  <c r="H646" i="2" s="1"/>
  <c r="G558" i="2"/>
  <c r="H558" i="2" s="1"/>
  <c r="G470" i="2"/>
  <c r="H470" i="2" s="1"/>
  <c r="G382" i="2"/>
  <c r="H382" i="2" s="1"/>
  <c r="G294" i="2"/>
  <c r="H294" i="2" s="1"/>
  <c r="G206" i="2"/>
  <c r="H206" i="2" s="1"/>
  <c r="G118" i="2"/>
  <c r="H118" i="2" s="1"/>
  <c r="G74" i="2"/>
  <c r="H74" i="2" s="1"/>
  <c r="G514" i="2"/>
  <c r="H514" i="2" s="1"/>
  <c r="G426" i="2"/>
  <c r="H426" i="2" s="1"/>
  <c r="G338" i="2"/>
  <c r="H338" i="2" s="1"/>
  <c r="G250" i="2"/>
  <c r="H250" i="2" s="1"/>
  <c r="G162" i="2"/>
  <c r="H162" i="2" s="1"/>
  <c r="G30" i="2"/>
  <c r="H30" i="2" s="1"/>
  <c r="G647" i="3"/>
  <c r="H647" i="3" s="1"/>
  <c r="G559" i="3"/>
  <c r="H559" i="3" s="1"/>
  <c r="G603" i="3"/>
  <c r="H603" i="3" s="1"/>
  <c r="G515" i="3"/>
  <c r="H515" i="3" s="1"/>
  <c r="G383" i="3"/>
  <c r="H383" i="3" s="1"/>
  <c r="G295" i="3"/>
  <c r="H295" i="3" s="1"/>
  <c r="G471" i="3"/>
  <c r="H471" i="3" s="1"/>
  <c r="G427" i="3"/>
  <c r="H427" i="3" s="1"/>
  <c r="G339" i="3"/>
  <c r="H339" i="3" s="1"/>
  <c r="G251" i="3"/>
  <c r="H251" i="3" s="1"/>
  <c r="G163" i="3"/>
  <c r="H163" i="3" s="1"/>
  <c r="G75" i="3"/>
  <c r="H75" i="3" s="1"/>
  <c r="G31" i="3"/>
  <c r="H31" i="3" s="1"/>
  <c r="G603" i="2"/>
  <c r="H603" i="2" s="1"/>
  <c r="G207" i="3"/>
  <c r="H207" i="3" s="1"/>
  <c r="G119" i="3"/>
  <c r="H119" i="3" s="1"/>
  <c r="G647" i="2"/>
  <c r="H647" i="2" s="1"/>
  <c r="G559" i="2"/>
  <c r="H559" i="2" s="1"/>
  <c r="G471" i="2"/>
  <c r="H471" i="2" s="1"/>
  <c r="G383" i="2"/>
  <c r="H383" i="2" s="1"/>
  <c r="G295" i="2"/>
  <c r="H295" i="2" s="1"/>
  <c r="G207" i="2"/>
  <c r="H207" i="2" s="1"/>
  <c r="G119" i="2"/>
  <c r="H119" i="2" s="1"/>
  <c r="G75" i="2"/>
  <c r="H75" i="2" s="1"/>
  <c r="G515" i="2"/>
  <c r="H515" i="2" s="1"/>
  <c r="G427" i="2"/>
  <c r="H427" i="2" s="1"/>
  <c r="G339" i="2"/>
  <c r="H339" i="2" s="1"/>
  <c r="G251" i="2"/>
  <c r="H251" i="2" s="1"/>
  <c r="G163" i="2"/>
  <c r="H163" i="2" s="1"/>
  <c r="G31" i="2"/>
  <c r="H31" i="2" s="1"/>
  <c r="G561" i="3"/>
  <c r="H561" i="3" s="1"/>
  <c r="G429" i="3"/>
  <c r="H429" i="3" s="1"/>
  <c r="G605" i="2"/>
  <c r="H605" i="2" s="1"/>
  <c r="G385" i="2"/>
  <c r="H385" i="2" s="1"/>
  <c r="G429" i="2"/>
  <c r="H429" i="2" s="1"/>
  <c r="K653" i="3"/>
  <c r="L653" i="3" s="1"/>
  <c r="K565" i="3"/>
  <c r="L565" i="3" s="1"/>
  <c r="K609" i="3"/>
  <c r="L609" i="3" s="1"/>
  <c r="K521" i="3"/>
  <c r="L521" i="3" s="1"/>
  <c r="K389" i="3"/>
  <c r="L389" i="3" s="1"/>
  <c r="K301" i="3"/>
  <c r="L301" i="3" s="1"/>
  <c r="K477" i="3"/>
  <c r="L477" i="3" s="1"/>
  <c r="K433" i="3"/>
  <c r="L433" i="3" s="1"/>
  <c r="K345" i="3"/>
  <c r="L345" i="3" s="1"/>
  <c r="K257" i="3"/>
  <c r="L257" i="3" s="1"/>
  <c r="K169" i="3"/>
  <c r="L169" i="3" s="1"/>
  <c r="K81" i="3"/>
  <c r="L81" i="3" s="1"/>
  <c r="K609" i="2"/>
  <c r="L609" i="2" s="1"/>
  <c r="K213" i="3"/>
  <c r="L213" i="3" s="1"/>
  <c r="K125" i="3"/>
  <c r="L125" i="3" s="1"/>
  <c r="K37" i="3"/>
  <c r="L37" i="3" s="1"/>
  <c r="K653" i="2"/>
  <c r="L653" i="2" s="1"/>
  <c r="K565" i="2"/>
  <c r="L565" i="2" s="1"/>
  <c r="K477" i="2"/>
  <c r="L477" i="2" s="1"/>
  <c r="K389" i="2"/>
  <c r="L389" i="2" s="1"/>
  <c r="K301" i="2"/>
  <c r="L301" i="2" s="1"/>
  <c r="K213" i="2"/>
  <c r="L213" i="2" s="1"/>
  <c r="K125" i="2"/>
  <c r="L125" i="2" s="1"/>
  <c r="K81" i="2"/>
  <c r="L81" i="2" s="1"/>
  <c r="K521" i="2"/>
  <c r="L521" i="2" s="1"/>
  <c r="K433" i="2"/>
  <c r="L433" i="2" s="1"/>
  <c r="K345" i="2"/>
  <c r="L345" i="2" s="1"/>
  <c r="K257" i="2"/>
  <c r="L257" i="2" s="1"/>
  <c r="K169" i="2"/>
  <c r="L169" i="2" s="1"/>
  <c r="K37" i="2"/>
  <c r="L37" i="2" s="1"/>
  <c r="G653" i="3"/>
  <c r="H653" i="3" s="1"/>
  <c r="G565" i="3"/>
  <c r="H565" i="3" s="1"/>
  <c r="G609" i="3"/>
  <c r="H609" i="3" s="1"/>
  <c r="G521" i="3"/>
  <c r="H521" i="3" s="1"/>
  <c r="G477" i="3"/>
  <c r="H477" i="3" s="1"/>
  <c r="G389" i="3"/>
  <c r="H389" i="3" s="1"/>
  <c r="G301" i="3"/>
  <c r="H301" i="3" s="1"/>
  <c r="G433" i="3"/>
  <c r="H433" i="3" s="1"/>
  <c r="G257" i="3"/>
  <c r="H257" i="3" s="1"/>
  <c r="G169" i="3"/>
  <c r="H169" i="3" s="1"/>
  <c r="G81" i="3"/>
  <c r="H81" i="3" s="1"/>
  <c r="G609" i="2"/>
  <c r="H609" i="2" s="1"/>
  <c r="G345" i="3"/>
  <c r="H345" i="3" s="1"/>
  <c r="G213" i="3"/>
  <c r="H213" i="3" s="1"/>
  <c r="G125" i="3"/>
  <c r="H125" i="3" s="1"/>
  <c r="G37" i="3"/>
  <c r="H37" i="3" s="1"/>
  <c r="G565" i="2"/>
  <c r="H565" i="2" s="1"/>
  <c r="G477" i="2"/>
  <c r="H477" i="2" s="1"/>
  <c r="G389" i="2"/>
  <c r="H389" i="2" s="1"/>
  <c r="G301" i="2"/>
  <c r="H301" i="2" s="1"/>
  <c r="G213" i="2"/>
  <c r="H213" i="2" s="1"/>
  <c r="G125" i="2"/>
  <c r="H125" i="2" s="1"/>
  <c r="G81" i="2"/>
  <c r="H81" i="2" s="1"/>
  <c r="G653" i="2"/>
  <c r="H653" i="2" s="1"/>
  <c r="G521" i="2"/>
  <c r="H521" i="2" s="1"/>
  <c r="G433" i="2"/>
  <c r="H433" i="2" s="1"/>
  <c r="G345" i="2"/>
  <c r="H345" i="2" s="1"/>
  <c r="G257" i="2"/>
  <c r="H257" i="2" s="1"/>
  <c r="G37" i="2"/>
  <c r="H37" i="2" s="1"/>
  <c r="G169" i="2"/>
  <c r="H169" i="2" s="1"/>
  <c r="K655" i="3"/>
  <c r="L655" i="3" s="1"/>
  <c r="K567" i="3"/>
  <c r="L567" i="3" s="1"/>
  <c r="K611" i="3"/>
  <c r="L611" i="3" s="1"/>
  <c r="K523" i="3"/>
  <c r="L523" i="3" s="1"/>
  <c r="K479" i="3"/>
  <c r="L479" i="3" s="1"/>
  <c r="K391" i="3"/>
  <c r="L391" i="3" s="1"/>
  <c r="K303" i="3"/>
  <c r="L303" i="3" s="1"/>
  <c r="K435" i="3"/>
  <c r="L435" i="3" s="1"/>
  <c r="K347" i="3"/>
  <c r="L347" i="3" s="1"/>
  <c r="K259" i="3"/>
  <c r="L259" i="3" s="1"/>
  <c r="K171" i="3"/>
  <c r="L171" i="3" s="1"/>
  <c r="K83" i="3"/>
  <c r="L83" i="3" s="1"/>
  <c r="K39" i="3"/>
  <c r="L39" i="3" s="1"/>
  <c r="K611" i="2"/>
  <c r="L611" i="2" s="1"/>
  <c r="K215" i="3"/>
  <c r="L215" i="3" s="1"/>
  <c r="K127" i="3"/>
  <c r="L127" i="3" s="1"/>
  <c r="K567" i="2"/>
  <c r="L567" i="2" s="1"/>
  <c r="K479" i="2"/>
  <c r="L479" i="2" s="1"/>
  <c r="K391" i="2"/>
  <c r="L391" i="2" s="1"/>
  <c r="K303" i="2"/>
  <c r="L303" i="2" s="1"/>
  <c r="K215" i="2"/>
  <c r="L215" i="2" s="1"/>
  <c r="K127" i="2"/>
  <c r="L127" i="2" s="1"/>
  <c r="K83" i="2"/>
  <c r="L83" i="2" s="1"/>
  <c r="K655" i="2"/>
  <c r="L655" i="2" s="1"/>
  <c r="K523" i="2"/>
  <c r="L523" i="2" s="1"/>
  <c r="K435" i="2"/>
  <c r="L435" i="2" s="1"/>
  <c r="K347" i="2"/>
  <c r="L347" i="2" s="1"/>
  <c r="K259" i="2"/>
  <c r="L259" i="2" s="1"/>
  <c r="K171" i="2"/>
  <c r="L171" i="2" s="1"/>
  <c r="K39" i="2"/>
  <c r="L39" i="2" s="1"/>
  <c r="G611" i="3"/>
  <c r="H611" i="3" s="1"/>
  <c r="G347" i="3"/>
  <c r="H347" i="3" s="1"/>
  <c r="G215" i="3"/>
  <c r="H215" i="3" s="1"/>
  <c r="G303" i="2"/>
  <c r="H303" i="2" s="1"/>
  <c r="G347" i="2"/>
  <c r="H347" i="2" s="1"/>
  <c r="G570" i="3"/>
  <c r="H570" i="3" s="1"/>
  <c r="G438" i="3"/>
  <c r="H438" i="3" s="1"/>
  <c r="G218" i="3"/>
  <c r="H218" i="3" s="1"/>
  <c r="G306" i="2"/>
  <c r="H306" i="2" s="1"/>
  <c r="G438" i="2"/>
  <c r="H438" i="2" s="1"/>
  <c r="G662" i="3"/>
  <c r="H662" i="3" s="1"/>
  <c r="G574" i="3"/>
  <c r="H574" i="3" s="1"/>
  <c r="G618" i="3"/>
  <c r="H618" i="3" s="1"/>
  <c r="G530" i="3"/>
  <c r="H530" i="3" s="1"/>
  <c r="G398" i="3"/>
  <c r="H398" i="3" s="1"/>
  <c r="G310" i="3"/>
  <c r="H310" i="3" s="1"/>
  <c r="G486" i="3"/>
  <c r="H486" i="3" s="1"/>
  <c r="G442" i="3"/>
  <c r="H442" i="3" s="1"/>
  <c r="G354" i="3"/>
  <c r="H354" i="3" s="1"/>
  <c r="G266" i="3"/>
  <c r="H266" i="3" s="1"/>
  <c r="G178" i="3"/>
  <c r="H178" i="3" s="1"/>
  <c r="G90" i="3"/>
  <c r="H90" i="3" s="1"/>
  <c r="G46" i="3"/>
  <c r="H46" i="3" s="1"/>
  <c r="G618" i="2"/>
  <c r="H618" i="2" s="1"/>
  <c r="G222" i="3"/>
  <c r="H222" i="3" s="1"/>
  <c r="G134" i="3"/>
  <c r="H134" i="3" s="1"/>
  <c r="G662" i="2"/>
  <c r="H662" i="2" s="1"/>
  <c r="G574" i="2"/>
  <c r="H574" i="2" s="1"/>
  <c r="G486" i="2"/>
  <c r="H486" i="2" s="1"/>
  <c r="G398" i="2"/>
  <c r="H398" i="2" s="1"/>
  <c r="G310" i="2"/>
  <c r="H310" i="2" s="1"/>
  <c r="G222" i="2"/>
  <c r="H222" i="2" s="1"/>
  <c r="G134" i="2"/>
  <c r="H134" i="2" s="1"/>
  <c r="G90" i="2"/>
  <c r="H90" i="2" s="1"/>
  <c r="G530" i="2"/>
  <c r="H530" i="2" s="1"/>
  <c r="G442" i="2"/>
  <c r="H442" i="2" s="1"/>
  <c r="G354" i="2"/>
  <c r="H354" i="2" s="1"/>
  <c r="G266" i="2"/>
  <c r="H266" i="2" s="1"/>
  <c r="G178" i="2"/>
  <c r="H178" i="2" s="1"/>
  <c r="G46" i="2"/>
  <c r="H46" i="2" s="1"/>
  <c r="K664" i="3"/>
  <c r="L664" i="3" s="1"/>
  <c r="K576" i="3"/>
  <c r="L576" i="3" s="1"/>
  <c r="K620" i="3"/>
  <c r="L620" i="3" s="1"/>
  <c r="K532" i="3"/>
  <c r="L532" i="3" s="1"/>
  <c r="K444" i="3"/>
  <c r="L444" i="3" s="1"/>
  <c r="K488" i="3"/>
  <c r="L488" i="3" s="1"/>
  <c r="K400" i="3"/>
  <c r="L400" i="3" s="1"/>
  <c r="K312" i="3"/>
  <c r="L312" i="3" s="1"/>
  <c r="K356" i="3"/>
  <c r="L356" i="3" s="1"/>
  <c r="K268" i="3"/>
  <c r="L268" i="3" s="1"/>
  <c r="K180" i="3"/>
  <c r="L180" i="3" s="1"/>
  <c r="K92" i="3"/>
  <c r="L92" i="3" s="1"/>
  <c r="K48" i="3"/>
  <c r="L48" i="3" s="1"/>
  <c r="K620" i="2"/>
  <c r="L620" i="2" s="1"/>
  <c r="K224" i="3"/>
  <c r="L224" i="3" s="1"/>
  <c r="K136" i="3"/>
  <c r="L136" i="3" s="1"/>
  <c r="K664" i="2"/>
  <c r="L664" i="2" s="1"/>
  <c r="K576" i="2"/>
  <c r="L576" i="2" s="1"/>
  <c r="K488" i="2"/>
  <c r="L488" i="2" s="1"/>
  <c r="K400" i="2"/>
  <c r="L400" i="2" s="1"/>
  <c r="K312" i="2"/>
  <c r="L312" i="2" s="1"/>
  <c r="K224" i="2"/>
  <c r="L224" i="2" s="1"/>
  <c r="K136" i="2"/>
  <c r="L136" i="2" s="1"/>
  <c r="K92" i="2"/>
  <c r="L92" i="2" s="1"/>
  <c r="K532" i="2"/>
  <c r="L532" i="2" s="1"/>
  <c r="K444" i="2"/>
  <c r="L444" i="2" s="1"/>
  <c r="K356" i="2"/>
  <c r="L356" i="2" s="1"/>
  <c r="K268" i="2"/>
  <c r="L268" i="2" s="1"/>
  <c r="K180" i="2"/>
  <c r="L180" i="2" s="1"/>
  <c r="K48" i="2"/>
  <c r="L48" i="2" s="1"/>
  <c r="G627" i="3"/>
  <c r="H627" i="3" s="1"/>
  <c r="G407" i="3"/>
  <c r="G275" i="3"/>
  <c r="H275" i="3" s="1"/>
  <c r="G275" i="2"/>
  <c r="H275" i="2" s="1"/>
  <c r="G407" i="2"/>
  <c r="H407" i="2" s="1"/>
  <c r="K14" i="3"/>
  <c r="L14" i="3" s="1"/>
  <c r="K14" i="2"/>
  <c r="L14" i="2" s="1"/>
  <c r="K6" i="3"/>
  <c r="L6" i="3" s="1"/>
  <c r="K6" i="2"/>
  <c r="L6" i="2" s="1"/>
  <c r="K7" i="3"/>
  <c r="L7" i="3" s="1"/>
  <c r="K7" i="2"/>
  <c r="L7" i="2" s="1"/>
  <c r="K8" i="3"/>
  <c r="L8" i="3" s="1"/>
  <c r="K17" i="3" s="1"/>
  <c r="K8" i="2"/>
  <c r="L8" i="2" s="1"/>
  <c r="G10" i="3"/>
  <c r="H10" i="3" s="1"/>
  <c r="G10" i="2"/>
  <c r="H10" i="2" s="1"/>
  <c r="K11" i="3"/>
  <c r="L11" i="3" s="1"/>
  <c r="K11" i="2"/>
  <c r="L11" i="2" s="1"/>
  <c r="G12" i="3"/>
  <c r="H12" i="3" s="1"/>
  <c r="G12" i="2"/>
  <c r="H12" i="2" s="1"/>
  <c r="K507" i="3"/>
  <c r="L507" i="3" s="1"/>
  <c r="K287" i="3"/>
  <c r="L287" i="3" s="1"/>
  <c r="K67" i="3"/>
  <c r="L67" i="3" s="1"/>
  <c r="K243" i="2"/>
  <c r="L243" i="2" s="1"/>
  <c r="K111" i="2"/>
  <c r="L111" i="2" s="1"/>
  <c r="G642" i="3"/>
  <c r="H642" i="3" s="1"/>
  <c r="G598" i="3"/>
  <c r="H598" i="3" s="1"/>
  <c r="G510" i="3"/>
  <c r="H510" i="3" s="1"/>
  <c r="G554" i="3"/>
  <c r="H554" i="3" s="1"/>
  <c r="G466" i="3"/>
  <c r="H466" i="3" s="1"/>
  <c r="G422" i="3"/>
  <c r="H422" i="3" s="1"/>
  <c r="G334" i="3"/>
  <c r="H334" i="3" s="1"/>
  <c r="G378" i="3"/>
  <c r="H378" i="3" s="1"/>
  <c r="G290" i="3"/>
  <c r="H290" i="3" s="1"/>
  <c r="G202" i="3"/>
  <c r="H202" i="3" s="1"/>
  <c r="G114" i="3"/>
  <c r="H114" i="3" s="1"/>
  <c r="G26" i="3"/>
  <c r="H26" i="3" s="1"/>
  <c r="G642" i="2"/>
  <c r="H642" i="2" s="1"/>
  <c r="G246" i="3"/>
  <c r="H246" i="3" s="1"/>
  <c r="G158" i="3"/>
  <c r="H158" i="3" s="1"/>
  <c r="G70" i="3"/>
  <c r="H70" i="3" s="1"/>
  <c r="G598" i="2"/>
  <c r="H598" i="2" s="1"/>
  <c r="G510" i="2"/>
  <c r="H510" i="2" s="1"/>
  <c r="G422" i="2"/>
  <c r="H422" i="2" s="1"/>
  <c r="G334" i="2"/>
  <c r="H334" i="2" s="1"/>
  <c r="G246" i="2"/>
  <c r="H246" i="2" s="1"/>
  <c r="G158" i="2"/>
  <c r="H158" i="2" s="1"/>
  <c r="G554" i="2"/>
  <c r="H554" i="2" s="1"/>
  <c r="G466" i="2"/>
  <c r="H466" i="2" s="1"/>
  <c r="G378" i="2"/>
  <c r="H378" i="2" s="1"/>
  <c r="G290" i="2"/>
  <c r="H290" i="2" s="1"/>
  <c r="G114" i="2"/>
  <c r="H114" i="2" s="1"/>
  <c r="G70" i="2"/>
  <c r="H70" i="2" s="1"/>
  <c r="G202" i="2"/>
  <c r="H202" i="2" s="1"/>
  <c r="G26" i="2"/>
  <c r="H26" i="2" s="1"/>
  <c r="G384" i="3"/>
  <c r="H384" i="3" s="1"/>
  <c r="G164" i="3"/>
  <c r="H164" i="3" s="1"/>
  <c r="G648" i="2"/>
  <c r="H648" i="2" s="1"/>
  <c r="G120" i="2"/>
  <c r="H120" i="2" s="1"/>
  <c r="G164" i="2"/>
  <c r="H164" i="2" s="1"/>
  <c r="K651" i="3"/>
  <c r="L651" i="3" s="1"/>
  <c r="K563" i="3"/>
  <c r="L563" i="3" s="1"/>
  <c r="K607" i="3"/>
  <c r="L607" i="3" s="1"/>
  <c r="K519" i="3"/>
  <c r="L519" i="3" s="1"/>
  <c r="K387" i="3"/>
  <c r="L387" i="3" s="1"/>
  <c r="K299" i="3"/>
  <c r="L299" i="3" s="1"/>
  <c r="K475" i="3"/>
  <c r="L475" i="3" s="1"/>
  <c r="K431" i="3"/>
  <c r="L431" i="3" s="1"/>
  <c r="K343" i="3"/>
  <c r="L343" i="3" s="1"/>
  <c r="K255" i="3"/>
  <c r="L255" i="3" s="1"/>
  <c r="K167" i="3"/>
  <c r="L167" i="3" s="1"/>
  <c r="K79" i="3"/>
  <c r="L79" i="3" s="1"/>
  <c r="K607" i="2"/>
  <c r="L607" i="2" s="1"/>
  <c r="K211" i="3"/>
  <c r="L211" i="3" s="1"/>
  <c r="K123" i="3"/>
  <c r="L123" i="3" s="1"/>
  <c r="K35" i="3"/>
  <c r="L35" i="3" s="1"/>
  <c r="K651" i="2"/>
  <c r="L651" i="2" s="1"/>
  <c r="K563" i="2"/>
  <c r="L563" i="2" s="1"/>
  <c r="K475" i="2"/>
  <c r="L475" i="2" s="1"/>
  <c r="K387" i="2"/>
  <c r="L387" i="2" s="1"/>
  <c r="K299" i="2"/>
  <c r="L299" i="2" s="1"/>
  <c r="K211" i="2"/>
  <c r="L211" i="2" s="1"/>
  <c r="K123" i="2"/>
  <c r="L123" i="2" s="1"/>
  <c r="K79" i="2"/>
  <c r="L79" i="2" s="1"/>
  <c r="K519" i="2"/>
  <c r="L519" i="2" s="1"/>
  <c r="K431" i="2"/>
  <c r="L431" i="2" s="1"/>
  <c r="K343" i="2"/>
  <c r="L343" i="2" s="1"/>
  <c r="K255" i="2"/>
  <c r="L255" i="2" s="1"/>
  <c r="K167" i="2"/>
  <c r="L167" i="2" s="1"/>
  <c r="K35" i="2"/>
  <c r="L35" i="2" s="1"/>
  <c r="I92" i="1"/>
  <c r="K564" i="3"/>
  <c r="L564" i="3" s="1"/>
  <c r="K432" i="3"/>
  <c r="L432" i="3" s="1"/>
  <c r="K212" i="3"/>
  <c r="L212" i="3" s="1"/>
  <c r="K388" i="2"/>
  <c r="L388" i="2" s="1"/>
  <c r="K432" i="2"/>
  <c r="L432" i="2" s="1"/>
  <c r="K119" i="1"/>
  <c r="K658" i="3"/>
  <c r="L658" i="3" s="1"/>
  <c r="K570" i="3"/>
  <c r="L570" i="3" s="1"/>
  <c r="K614" i="3"/>
  <c r="L614" i="3" s="1"/>
  <c r="K526" i="3"/>
  <c r="L526" i="3" s="1"/>
  <c r="K394" i="3"/>
  <c r="L394" i="3" s="1"/>
  <c r="K306" i="3"/>
  <c r="L306" i="3" s="1"/>
  <c r="K482" i="3"/>
  <c r="L482" i="3" s="1"/>
  <c r="K438" i="3"/>
  <c r="L438" i="3" s="1"/>
  <c r="K350" i="3"/>
  <c r="L350" i="3" s="1"/>
  <c r="K262" i="3"/>
  <c r="L262" i="3" s="1"/>
  <c r="K174" i="3"/>
  <c r="L174" i="3" s="1"/>
  <c r="K86" i="3"/>
  <c r="L86" i="3" s="1"/>
  <c r="K614" i="2"/>
  <c r="L614" i="2" s="1"/>
  <c r="K218" i="3"/>
  <c r="L218" i="3" s="1"/>
  <c r="K130" i="3"/>
  <c r="L130" i="3" s="1"/>
  <c r="K42" i="3"/>
  <c r="L42" i="3" s="1"/>
  <c r="K658" i="2"/>
  <c r="L658" i="2" s="1"/>
  <c r="K570" i="2"/>
  <c r="L570" i="2" s="1"/>
  <c r="K482" i="2"/>
  <c r="L482" i="2" s="1"/>
  <c r="K394" i="2"/>
  <c r="L394" i="2" s="1"/>
  <c r="K306" i="2"/>
  <c r="L306" i="2" s="1"/>
  <c r="K218" i="2"/>
  <c r="L218" i="2" s="1"/>
  <c r="K130" i="2"/>
  <c r="L130" i="2" s="1"/>
  <c r="K86" i="2"/>
  <c r="L86" i="2" s="1"/>
  <c r="K526" i="2"/>
  <c r="L526" i="2" s="1"/>
  <c r="K438" i="2"/>
  <c r="L438" i="2" s="1"/>
  <c r="K350" i="2"/>
  <c r="L350" i="2" s="1"/>
  <c r="K262" i="2"/>
  <c r="L262" i="2" s="1"/>
  <c r="K174" i="2"/>
  <c r="L174" i="2" s="1"/>
  <c r="K42" i="2"/>
  <c r="L42" i="2" s="1"/>
  <c r="K138" i="1"/>
  <c r="K132" i="1" s="1"/>
  <c r="I138" i="1"/>
  <c r="I132" i="1" s="1"/>
  <c r="K662" i="3"/>
  <c r="L662" i="3" s="1"/>
  <c r="K574" i="3"/>
  <c r="L574" i="3" s="1"/>
  <c r="K618" i="3"/>
  <c r="L618" i="3" s="1"/>
  <c r="K530" i="3"/>
  <c r="L530" i="3" s="1"/>
  <c r="K486" i="3"/>
  <c r="L486" i="3" s="1"/>
  <c r="K398" i="3"/>
  <c r="L398" i="3" s="1"/>
  <c r="K310" i="3"/>
  <c r="L310" i="3" s="1"/>
  <c r="K442" i="3"/>
  <c r="L442" i="3" s="1"/>
  <c r="K354" i="3"/>
  <c r="L354" i="3" s="1"/>
  <c r="K266" i="3"/>
  <c r="L266" i="3" s="1"/>
  <c r="K178" i="3"/>
  <c r="L178" i="3" s="1"/>
  <c r="K90" i="3"/>
  <c r="L90" i="3" s="1"/>
  <c r="K46" i="3"/>
  <c r="L46" i="3" s="1"/>
  <c r="K618" i="2"/>
  <c r="L618" i="2" s="1"/>
  <c r="K222" i="3"/>
  <c r="L222" i="3" s="1"/>
  <c r="K134" i="3"/>
  <c r="L134" i="3" s="1"/>
  <c r="K662" i="2"/>
  <c r="L662" i="2" s="1"/>
  <c r="K574" i="2"/>
  <c r="L574" i="2" s="1"/>
  <c r="K486" i="2"/>
  <c r="L486" i="2" s="1"/>
  <c r="K398" i="2"/>
  <c r="L398" i="2" s="1"/>
  <c r="K310" i="2"/>
  <c r="L310" i="2" s="1"/>
  <c r="K222" i="2"/>
  <c r="L222" i="2" s="1"/>
  <c r="K134" i="2"/>
  <c r="L134" i="2" s="1"/>
  <c r="K90" i="2"/>
  <c r="L90" i="2" s="1"/>
  <c r="K530" i="2"/>
  <c r="L530" i="2" s="1"/>
  <c r="K442" i="2"/>
  <c r="L442" i="2" s="1"/>
  <c r="K354" i="2"/>
  <c r="L354" i="2" s="1"/>
  <c r="K266" i="2"/>
  <c r="L266" i="2" s="1"/>
  <c r="K178" i="2"/>
  <c r="L178" i="2" s="1"/>
  <c r="K46" i="2"/>
  <c r="L46" i="2" s="1"/>
  <c r="K154" i="1"/>
  <c r="G670" i="3"/>
  <c r="H670" i="3" s="1"/>
  <c r="G582" i="3"/>
  <c r="H582" i="3" s="1"/>
  <c r="G626" i="3"/>
  <c r="H626" i="3" s="1"/>
  <c r="G538" i="3"/>
  <c r="H538" i="3" s="1"/>
  <c r="G450" i="3"/>
  <c r="H450" i="3" s="1"/>
  <c r="G494" i="3"/>
  <c r="H494" i="3" s="1"/>
  <c r="G406" i="3"/>
  <c r="H406" i="3" s="1"/>
  <c r="G318" i="3"/>
  <c r="H318" i="3" s="1"/>
  <c r="G362" i="3"/>
  <c r="H362" i="3" s="1"/>
  <c r="G274" i="3"/>
  <c r="H274" i="3" s="1"/>
  <c r="G186" i="3"/>
  <c r="H186" i="3" s="1"/>
  <c r="G98" i="3"/>
  <c r="H98" i="3" s="1"/>
  <c r="G626" i="2"/>
  <c r="H626" i="2" s="1"/>
  <c r="G230" i="3"/>
  <c r="H230" i="3" s="1"/>
  <c r="G142" i="3"/>
  <c r="H142" i="3" s="1"/>
  <c r="G54" i="3"/>
  <c r="H54" i="3" s="1"/>
  <c r="G670" i="2"/>
  <c r="H670" i="2" s="1"/>
  <c r="G582" i="2"/>
  <c r="H582" i="2" s="1"/>
  <c r="G494" i="2"/>
  <c r="H494" i="2" s="1"/>
  <c r="G406" i="2"/>
  <c r="H406" i="2" s="1"/>
  <c r="G318" i="2"/>
  <c r="H318" i="2" s="1"/>
  <c r="G230" i="2"/>
  <c r="H230" i="2" s="1"/>
  <c r="G142" i="2"/>
  <c r="H142" i="2" s="1"/>
  <c r="G98" i="2"/>
  <c r="H98" i="2" s="1"/>
  <c r="G538" i="2"/>
  <c r="H538" i="2" s="1"/>
  <c r="G450" i="2"/>
  <c r="H450" i="2" s="1"/>
  <c r="G362" i="2"/>
  <c r="H362" i="2" s="1"/>
  <c r="G274" i="2"/>
  <c r="H274" i="2" s="1"/>
  <c r="G54" i="2"/>
  <c r="H54" i="2" s="1"/>
  <c r="G186" i="2"/>
  <c r="H186" i="2" s="1"/>
  <c r="K671" i="3"/>
  <c r="L671" i="3" s="1"/>
  <c r="K627" i="3"/>
  <c r="L627" i="3" s="1"/>
  <c r="K539" i="3"/>
  <c r="L539" i="3" s="1"/>
  <c r="K583" i="3"/>
  <c r="L583" i="3" s="1"/>
  <c r="K495" i="3"/>
  <c r="L495" i="3" s="1"/>
  <c r="K451" i="3"/>
  <c r="L451" i="3" s="1"/>
  <c r="K363" i="3"/>
  <c r="L363" i="3" s="1"/>
  <c r="K407" i="3"/>
  <c r="K231" i="3"/>
  <c r="L231" i="3" s="1"/>
  <c r="K143" i="3"/>
  <c r="L143" i="3" s="1"/>
  <c r="K55" i="3"/>
  <c r="L55" i="3" s="1"/>
  <c r="K671" i="2"/>
  <c r="L671" i="2" s="1"/>
  <c r="K319" i="3"/>
  <c r="L319" i="3" s="1"/>
  <c r="K275" i="3"/>
  <c r="L275" i="3" s="1"/>
  <c r="K187" i="3"/>
  <c r="L187" i="3" s="1"/>
  <c r="K99" i="3"/>
  <c r="L99" i="3" s="1"/>
  <c r="K627" i="2"/>
  <c r="L627" i="2" s="1"/>
  <c r="K539" i="2"/>
  <c r="L539" i="2" s="1"/>
  <c r="K451" i="2"/>
  <c r="L451" i="2" s="1"/>
  <c r="K363" i="2"/>
  <c r="L363" i="2" s="1"/>
  <c r="K275" i="2"/>
  <c r="L275" i="2" s="1"/>
  <c r="K187" i="2"/>
  <c r="L187" i="2" s="1"/>
  <c r="K55" i="2"/>
  <c r="L55" i="2" s="1"/>
  <c r="K583" i="2"/>
  <c r="L583" i="2" s="1"/>
  <c r="K495" i="2"/>
  <c r="L495" i="2" s="1"/>
  <c r="K407" i="2"/>
  <c r="L407" i="2" s="1"/>
  <c r="K319" i="2"/>
  <c r="L319" i="2" s="1"/>
  <c r="K231" i="2"/>
  <c r="L231" i="2" s="1"/>
  <c r="K143" i="2"/>
  <c r="L143" i="2" s="1"/>
  <c r="K99" i="2"/>
  <c r="L99" i="2" s="1"/>
  <c r="K672" i="3"/>
  <c r="L672" i="3" s="1"/>
  <c r="K584" i="3"/>
  <c r="L584" i="3" s="1"/>
  <c r="K628" i="3"/>
  <c r="L628" i="3" s="1"/>
  <c r="K540" i="3"/>
  <c r="L540" i="3" s="1"/>
  <c r="K452" i="3"/>
  <c r="L452" i="3" s="1"/>
  <c r="K408" i="3"/>
  <c r="L408" i="3" s="1"/>
  <c r="K320" i="3"/>
  <c r="L320" i="3" s="1"/>
  <c r="K496" i="3"/>
  <c r="L496" i="3" s="1"/>
  <c r="K364" i="3"/>
  <c r="L364" i="3" s="1"/>
  <c r="K276" i="3"/>
  <c r="L276" i="3" s="1"/>
  <c r="K188" i="3"/>
  <c r="L188" i="3" s="1"/>
  <c r="K100" i="3"/>
  <c r="L100" i="3" s="1"/>
  <c r="K628" i="2"/>
  <c r="L628" i="2" s="1"/>
  <c r="K232" i="3"/>
  <c r="L232" i="3" s="1"/>
  <c r="K144" i="3"/>
  <c r="L144" i="3" s="1"/>
  <c r="K56" i="3"/>
  <c r="L56" i="3" s="1"/>
  <c r="K672" i="2"/>
  <c r="L672" i="2" s="1"/>
  <c r="K584" i="2"/>
  <c r="L584" i="2" s="1"/>
  <c r="K496" i="2"/>
  <c r="L496" i="2" s="1"/>
  <c r="K408" i="2"/>
  <c r="L408" i="2" s="1"/>
  <c r="K320" i="2"/>
  <c r="L320" i="2" s="1"/>
  <c r="K232" i="2"/>
  <c r="L232" i="2" s="1"/>
  <c r="K144" i="2"/>
  <c r="L144" i="2" s="1"/>
  <c r="K100" i="2"/>
  <c r="L100" i="2" s="1"/>
  <c r="K540" i="2"/>
  <c r="L540" i="2" s="1"/>
  <c r="K452" i="2"/>
  <c r="L452" i="2" s="1"/>
  <c r="K364" i="2"/>
  <c r="K276" i="2"/>
  <c r="L276" i="2" s="1"/>
  <c r="K188" i="2"/>
  <c r="K56" i="2"/>
  <c r="L56" i="2" s="1"/>
  <c r="K673" i="3"/>
  <c r="L673" i="3" s="1"/>
  <c r="K629" i="3"/>
  <c r="L629" i="3" s="1"/>
  <c r="K541" i="3"/>
  <c r="L541" i="3" s="1"/>
  <c r="K585" i="3"/>
  <c r="L585" i="3" s="1"/>
  <c r="K497" i="3"/>
  <c r="L497" i="3" s="1"/>
  <c r="K365" i="3"/>
  <c r="L365" i="3" s="1"/>
  <c r="K453" i="3"/>
  <c r="L453" i="3" s="1"/>
  <c r="K409" i="3"/>
  <c r="L409" i="3" s="1"/>
  <c r="K321" i="3"/>
  <c r="L321" i="3" s="1"/>
  <c r="K233" i="3"/>
  <c r="L233" i="3" s="1"/>
  <c r="K145" i="3"/>
  <c r="L145" i="3" s="1"/>
  <c r="K57" i="3"/>
  <c r="L57" i="3" s="1"/>
  <c r="K673" i="2"/>
  <c r="K277" i="3"/>
  <c r="L277" i="3" s="1"/>
  <c r="K189" i="3"/>
  <c r="L189" i="3" s="1"/>
  <c r="K101" i="3"/>
  <c r="L101" i="3" s="1"/>
  <c r="K629" i="2"/>
  <c r="L629" i="2" s="1"/>
  <c r="K541" i="2"/>
  <c r="L541" i="2" s="1"/>
  <c r="K453" i="2"/>
  <c r="L453" i="2" s="1"/>
  <c r="K365" i="2"/>
  <c r="L365" i="2" s="1"/>
  <c r="K277" i="2"/>
  <c r="L277" i="2" s="1"/>
  <c r="K189" i="2"/>
  <c r="L189" i="2" s="1"/>
  <c r="K57" i="2"/>
  <c r="L57" i="2" s="1"/>
  <c r="K585" i="2"/>
  <c r="L585" i="2" s="1"/>
  <c r="K497" i="2"/>
  <c r="L497" i="2" s="1"/>
  <c r="K409" i="2"/>
  <c r="K321" i="2"/>
  <c r="L321" i="2" s="1"/>
  <c r="K233" i="2"/>
  <c r="L233" i="2" s="1"/>
  <c r="K145" i="2"/>
  <c r="L145" i="2" s="1"/>
  <c r="K101" i="2"/>
  <c r="L101" i="2" s="1"/>
  <c r="G644" i="3"/>
  <c r="H644" i="3" s="1"/>
  <c r="G600" i="3"/>
  <c r="H600" i="3" s="1"/>
  <c r="G512" i="3"/>
  <c r="H512" i="3" s="1"/>
  <c r="G556" i="3"/>
  <c r="H556" i="3" s="1"/>
  <c r="G468" i="3"/>
  <c r="H468" i="3" s="1"/>
  <c r="G424" i="3"/>
  <c r="H424" i="3" s="1"/>
  <c r="G336" i="3"/>
  <c r="H336" i="3" s="1"/>
  <c r="G380" i="3"/>
  <c r="H380" i="3" s="1"/>
  <c r="G292" i="3"/>
  <c r="H292" i="3" s="1"/>
  <c r="G204" i="3"/>
  <c r="H204" i="3" s="1"/>
  <c r="G116" i="3"/>
  <c r="H116" i="3" s="1"/>
  <c r="G644" i="2"/>
  <c r="H644" i="2" s="1"/>
  <c r="G248" i="3"/>
  <c r="H248" i="3" s="1"/>
  <c r="G160" i="3"/>
  <c r="H160" i="3" s="1"/>
  <c r="G72" i="3"/>
  <c r="H72" i="3" s="1"/>
  <c r="G28" i="3"/>
  <c r="H28" i="3" s="1"/>
  <c r="G600" i="2"/>
  <c r="H600" i="2" s="1"/>
  <c r="G512" i="2"/>
  <c r="H512" i="2" s="1"/>
  <c r="G424" i="2"/>
  <c r="H424" i="2" s="1"/>
  <c r="G336" i="2"/>
  <c r="H336" i="2" s="1"/>
  <c r="G248" i="2"/>
  <c r="H248" i="2" s="1"/>
  <c r="G160" i="2"/>
  <c r="H160" i="2" s="1"/>
  <c r="G556" i="2"/>
  <c r="H556" i="2" s="1"/>
  <c r="G468" i="2"/>
  <c r="H468" i="2" s="1"/>
  <c r="G380" i="2"/>
  <c r="H380" i="2" s="1"/>
  <c r="G292" i="2"/>
  <c r="H292" i="2" s="1"/>
  <c r="G645" i="3"/>
  <c r="H645" i="3" s="1"/>
  <c r="G601" i="3"/>
  <c r="H601" i="3" s="1"/>
  <c r="G513" i="3"/>
  <c r="H513" i="3" s="1"/>
  <c r="G557" i="3"/>
  <c r="H557" i="3" s="1"/>
  <c r="G469" i="3"/>
  <c r="H469" i="3" s="1"/>
  <c r="G425" i="3"/>
  <c r="H425" i="3" s="1"/>
  <c r="G337" i="3"/>
  <c r="H337" i="3" s="1"/>
  <c r="G381" i="3"/>
  <c r="H381" i="3" s="1"/>
  <c r="G293" i="3"/>
  <c r="H293" i="3" s="1"/>
  <c r="G205" i="3"/>
  <c r="H205" i="3" s="1"/>
  <c r="G117" i="3"/>
  <c r="H117" i="3" s="1"/>
  <c r="G645" i="2"/>
  <c r="H645" i="2" s="1"/>
  <c r="G249" i="3"/>
  <c r="H249" i="3" s="1"/>
  <c r="G161" i="3"/>
  <c r="H161" i="3" s="1"/>
  <c r="G73" i="3"/>
  <c r="H73" i="3" s="1"/>
  <c r="G29" i="3"/>
  <c r="H29" i="3" s="1"/>
  <c r="G601" i="2"/>
  <c r="H601" i="2" s="1"/>
  <c r="G513" i="2"/>
  <c r="H513" i="2" s="1"/>
  <c r="G425" i="2"/>
  <c r="H425" i="2" s="1"/>
  <c r="G337" i="2"/>
  <c r="H337" i="2" s="1"/>
  <c r="G249" i="2"/>
  <c r="H249" i="2" s="1"/>
  <c r="G161" i="2"/>
  <c r="H161" i="2" s="1"/>
  <c r="G557" i="2"/>
  <c r="H557" i="2" s="1"/>
  <c r="G469" i="2"/>
  <c r="H469" i="2" s="1"/>
  <c r="G381" i="2"/>
  <c r="H381" i="2" s="1"/>
  <c r="G293" i="2"/>
  <c r="H293" i="2" s="1"/>
  <c r="K646" i="3"/>
  <c r="L646" i="3" s="1"/>
  <c r="K558" i="3"/>
  <c r="L558" i="3" s="1"/>
  <c r="K602" i="3"/>
  <c r="L602" i="3" s="1"/>
  <c r="K514" i="3"/>
  <c r="L514" i="3" s="1"/>
  <c r="K470" i="3"/>
  <c r="L470" i="3" s="1"/>
  <c r="K382" i="3"/>
  <c r="L382" i="3" s="1"/>
  <c r="K294" i="3"/>
  <c r="L294" i="3" s="1"/>
  <c r="K426" i="3"/>
  <c r="L426" i="3" s="1"/>
  <c r="K250" i="3"/>
  <c r="L250" i="3" s="1"/>
  <c r="K162" i="3"/>
  <c r="L162" i="3" s="1"/>
  <c r="K74" i="3"/>
  <c r="L74" i="3" s="1"/>
  <c r="K30" i="3"/>
  <c r="L30" i="3" s="1"/>
  <c r="K602" i="2"/>
  <c r="L602" i="2" s="1"/>
  <c r="K338" i="3"/>
  <c r="L338" i="3" s="1"/>
  <c r="K206" i="3"/>
  <c r="L206" i="3" s="1"/>
  <c r="K118" i="3"/>
  <c r="L118" i="3" s="1"/>
  <c r="K558" i="2"/>
  <c r="L558" i="2" s="1"/>
  <c r="K470" i="2"/>
  <c r="L470" i="2" s="1"/>
  <c r="K382" i="2"/>
  <c r="L382" i="2" s="1"/>
  <c r="K294" i="2"/>
  <c r="L294" i="2" s="1"/>
  <c r="K206" i="2"/>
  <c r="L206" i="2" s="1"/>
  <c r="K118" i="2"/>
  <c r="L118" i="2" s="1"/>
  <c r="K74" i="2"/>
  <c r="L74" i="2" s="1"/>
  <c r="K646" i="2"/>
  <c r="L646" i="2" s="1"/>
  <c r="K514" i="2"/>
  <c r="L514" i="2" s="1"/>
  <c r="K426" i="2"/>
  <c r="L426" i="2" s="1"/>
  <c r="K338" i="2"/>
  <c r="L338" i="2" s="1"/>
  <c r="K250" i="2"/>
  <c r="L250" i="2" s="1"/>
  <c r="G651" i="3"/>
  <c r="H651" i="3" s="1"/>
  <c r="G563" i="3"/>
  <c r="H563" i="3" s="1"/>
  <c r="G607" i="3"/>
  <c r="H607" i="3" s="1"/>
  <c r="G519" i="3"/>
  <c r="H519" i="3" s="1"/>
  <c r="G475" i="3"/>
  <c r="H475" i="3" s="1"/>
  <c r="G387" i="3"/>
  <c r="H387" i="3" s="1"/>
  <c r="G299" i="3"/>
  <c r="H299" i="3" s="1"/>
  <c r="G431" i="3"/>
  <c r="H431" i="3" s="1"/>
  <c r="G255" i="3"/>
  <c r="H255" i="3" s="1"/>
  <c r="G167" i="3"/>
  <c r="H167" i="3" s="1"/>
  <c r="G79" i="3"/>
  <c r="H79" i="3" s="1"/>
  <c r="G607" i="2"/>
  <c r="H607" i="2" s="1"/>
  <c r="G343" i="3"/>
  <c r="H343" i="3" s="1"/>
  <c r="G211" i="3"/>
  <c r="H211" i="3" s="1"/>
  <c r="G123" i="3"/>
  <c r="H123" i="3" s="1"/>
  <c r="G35" i="3"/>
  <c r="H35" i="3" s="1"/>
  <c r="G563" i="2"/>
  <c r="H563" i="2" s="1"/>
  <c r="G475" i="2"/>
  <c r="H475" i="2" s="1"/>
  <c r="G387" i="2"/>
  <c r="H387" i="2" s="1"/>
  <c r="G299" i="2"/>
  <c r="H299" i="2" s="1"/>
  <c r="G211" i="2"/>
  <c r="H211" i="2" s="1"/>
  <c r="G123" i="2"/>
  <c r="H123" i="2" s="1"/>
  <c r="G79" i="2"/>
  <c r="H79" i="2" s="1"/>
  <c r="G651" i="2"/>
  <c r="H651" i="2" s="1"/>
  <c r="G519" i="2"/>
  <c r="H519" i="2" s="1"/>
  <c r="G431" i="2"/>
  <c r="H431" i="2" s="1"/>
  <c r="G343" i="2"/>
  <c r="H343" i="2" s="1"/>
  <c r="G255" i="2"/>
  <c r="H255" i="2" s="1"/>
  <c r="G657" i="3"/>
  <c r="H657" i="3" s="1"/>
  <c r="G569" i="3"/>
  <c r="H569" i="3" s="1"/>
  <c r="G613" i="3"/>
  <c r="H613" i="3" s="1"/>
  <c r="G525" i="3"/>
  <c r="H525" i="3" s="1"/>
  <c r="G481" i="3"/>
  <c r="H481" i="3" s="1"/>
  <c r="G393" i="3"/>
  <c r="H393" i="3" s="1"/>
  <c r="G305" i="3"/>
  <c r="H305" i="3" s="1"/>
  <c r="G437" i="3"/>
  <c r="H437" i="3" s="1"/>
  <c r="G349" i="3"/>
  <c r="H349" i="3" s="1"/>
  <c r="G261" i="3"/>
  <c r="H261" i="3" s="1"/>
  <c r="G173" i="3"/>
  <c r="H173" i="3" s="1"/>
  <c r="G85" i="3"/>
  <c r="H85" i="3" s="1"/>
  <c r="G613" i="2"/>
  <c r="H613" i="2" s="1"/>
  <c r="G217" i="3"/>
  <c r="H217" i="3" s="1"/>
  <c r="G129" i="3"/>
  <c r="H129" i="3" s="1"/>
  <c r="G41" i="3"/>
  <c r="H41" i="3" s="1"/>
  <c r="G569" i="2"/>
  <c r="H569" i="2" s="1"/>
  <c r="G481" i="2"/>
  <c r="H481" i="2" s="1"/>
  <c r="G393" i="2"/>
  <c r="H393" i="2" s="1"/>
  <c r="G305" i="2"/>
  <c r="H305" i="2" s="1"/>
  <c r="G217" i="2"/>
  <c r="H217" i="2" s="1"/>
  <c r="G129" i="2"/>
  <c r="H129" i="2" s="1"/>
  <c r="G85" i="2"/>
  <c r="H85" i="2" s="1"/>
  <c r="G657" i="2"/>
  <c r="H657" i="2" s="1"/>
  <c r="G525" i="2"/>
  <c r="H525" i="2" s="1"/>
  <c r="G437" i="2"/>
  <c r="H437" i="2" s="1"/>
  <c r="G349" i="2"/>
  <c r="H349" i="2" s="1"/>
  <c r="G261" i="2"/>
  <c r="H261" i="2" s="1"/>
  <c r="E142" i="1"/>
  <c r="I142" i="1" s="1"/>
  <c r="I139" i="1" s="1"/>
  <c r="G663" i="3"/>
  <c r="H663" i="3" s="1"/>
  <c r="G575" i="3"/>
  <c r="H575" i="3" s="1"/>
  <c r="G619" i="3"/>
  <c r="H619" i="3" s="1"/>
  <c r="G531" i="3"/>
  <c r="H531" i="3" s="1"/>
  <c r="G443" i="3"/>
  <c r="H443" i="3" s="1"/>
  <c r="G399" i="3"/>
  <c r="H399" i="3" s="1"/>
  <c r="G311" i="3"/>
  <c r="H311" i="3" s="1"/>
  <c r="G487" i="3"/>
  <c r="H487" i="3" s="1"/>
  <c r="G355" i="3"/>
  <c r="H355" i="3" s="1"/>
  <c r="G267" i="3"/>
  <c r="H267" i="3" s="1"/>
  <c r="G179" i="3"/>
  <c r="H179" i="3" s="1"/>
  <c r="G91" i="3"/>
  <c r="H91" i="3" s="1"/>
  <c r="G47" i="3"/>
  <c r="H47" i="3" s="1"/>
  <c r="G619" i="2"/>
  <c r="H619" i="2" s="1"/>
  <c r="G223" i="3"/>
  <c r="H223" i="3" s="1"/>
  <c r="G135" i="3"/>
  <c r="H135" i="3" s="1"/>
  <c r="G663" i="2"/>
  <c r="H663" i="2" s="1"/>
  <c r="G575" i="2"/>
  <c r="H575" i="2" s="1"/>
  <c r="G487" i="2"/>
  <c r="H487" i="2" s="1"/>
  <c r="G399" i="2"/>
  <c r="H399" i="2" s="1"/>
  <c r="G311" i="2"/>
  <c r="H311" i="2" s="1"/>
  <c r="G223" i="2"/>
  <c r="H223" i="2" s="1"/>
  <c r="G135" i="2"/>
  <c r="H135" i="2" s="1"/>
  <c r="G91" i="2"/>
  <c r="H91" i="2" s="1"/>
  <c r="G531" i="2"/>
  <c r="H531" i="2" s="1"/>
  <c r="G443" i="2"/>
  <c r="H443" i="2" s="1"/>
  <c r="G355" i="2"/>
  <c r="H355" i="2" s="1"/>
  <c r="G267" i="2"/>
  <c r="H267" i="2" s="1"/>
  <c r="G664" i="3"/>
  <c r="H664" i="3" s="1"/>
  <c r="G576" i="3"/>
  <c r="H576" i="3" s="1"/>
  <c r="G620" i="3"/>
  <c r="H620" i="3" s="1"/>
  <c r="G532" i="3"/>
  <c r="H532" i="3" s="1"/>
  <c r="G444" i="3"/>
  <c r="H444" i="3" s="1"/>
  <c r="G400" i="3"/>
  <c r="H400" i="3" s="1"/>
  <c r="G312" i="3"/>
  <c r="H312" i="3" s="1"/>
  <c r="G488" i="3"/>
  <c r="H488" i="3" s="1"/>
  <c r="G356" i="3"/>
  <c r="H356" i="3" s="1"/>
  <c r="G268" i="3"/>
  <c r="H268" i="3" s="1"/>
  <c r="G180" i="3"/>
  <c r="H180" i="3" s="1"/>
  <c r="G92" i="3"/>
  <c r="H92" i="3" s="1"/>
  <c r="G48" i="3"/>
  <c r="H48" i="3" s="1"/>
  <c r="G620" i="2"/>
  <c r="H620" i="2" s="1"/>
  <c r="G224" i="3"/>
  <c r="H224" i="3" s="1"/>
  <c r="G136" i="3"/>
  <c r="H136" i="3" s="1"/>
  <c r="G664" i="2"/>
  <c r="H664" i="2" s="1"/>
  <c r="G576" i="2"/>
  <c r="H576" i="2" s="1"/>
  <c r="G488" i="2"/>
  <c r="H488" i="2" s="1"/>
  <c r="G400" i="2"/>
  <c r="H400" i="2" s="1"/>
  <c r="G312" i="2"/>
  <c r="H312" i="2" s="1"/>
  <c r="G224" i="2"/>
  <c r="H224" i="2" s="1"/>
  <c r="G136" i="2"/>
  <c r="H136" i="2" s="1"/>
  <c r="G92" i="2"/>
  <c r="H92" i="2" s="1"/>
  <c r="G532" i="2"/>
  <c r="H532" i="2" s="1"/>
  <c r="G444" i="2"/>
  <c r="H444" i="2" s="1"/>
  <c r="G356" i="2"/>
  <c r="H356" i="2" s="1"/>
  <c r="G268" i="2"/>
  <c r="H268" i="2" s="1"/>
  <c r="E165" i="1"/>
  <c r="I165" i="1" s="1"/>
  <c r="I162" i="1" s="1"/>
  <c r="G402" i="3"/>
  <c r="H402" i="3" s="1"/>
  <c r="G94" i="3"/>
  <c r="H94" i="3" s="1"/>
  <c r="G578" i="2"/>
  <c r="H578" i="2" s="1"/>
  <c r="G94" i="2"/>
  <c r="H94" i="2" s="1"/>
  <c r="G667" i="3"/>
  <c r="H667" i="3" s="1"/>
  <c r="G579" i="3"/>
  <c r="H579" i="3" s="1"/>
  <c r="G623" i="3"/>
  <c r="H623" i="3" s="1"/>
  <c r="G535" i="3"/>
  <c r="H535" i="3" s="1"/>
  <c r="G447" i="3"/>
  <c r="H447" i="3" s="1"/>
  <c r="G403" i="3"/>
  <c r="H403" i="3" s="1"/>
  <c r="G315" i="3"/>
  <c r="H315" i="3" s="1"/>
  <c r="G491" i="3"/>
  <c r="H491" i="3" s="1"/>
  <c r="G359" i="3"/>
  <c r="H359" i="3" s="1"/>
  <c r="G271" i="3"/>
  <c r="H271" i="3" s="1"/>
  <c r="G183" i="3"/>
  <c r="H183" i="3" s="1"/>
  <c r="G95" i="3"/>
  <c r="H95" i="3" s="1"/>
  <c r="G51" i="3"/>
  <c r="H51" i="3" s="1"/>
  <c r="G623" i="2"/>
  <c r="H623" i="2" s="1"/>
  <c r="G227" i="3"/>
  <c r="H227" i="3" s="1"/>
  <c r="G139" i="3"/>
  <c r="H139" i="3" s="1"/>
  <c r="G667" i="2"/>
  <c r="H667" i="2" s="1"/>
  <c r="G579" i="2"/>
  <c r="H579" i="2" s="1"/>
  <c r="G491" i="2"/>
  <c r="H491" i="2" s="1"/>
  <c r="G403" i="2"/>
  <c r="H403" i="2" s="1"/>
  <c r="G315" i="2"/>
  <c r="H315" i="2" s="1"/>
  <c r="G227" i="2"/>
  <c r="H227" i="2" s="1"/>
  <c r="G139" i="2"/>
  <c r="H139" i="2" s="1"/>
  <c r="G95" i="2"/>
  <c r="H95" i="2" s="1"/>
  <c r="G535" i="2"/>
  <c r="H535" i="2" s="1"/>
  <c r="G447" i="2"/>
  <c r="H447" i="2" s="1"/>
  <c r="G359" i="2"/>
  <c r="H359" i="2" s="1"/>
  <c r="G271" i="2"/>
  <c r="H271" i="2" s="1"/>
  <c r="G668" i="3"/>
  <c r="H668" i="3" s="1"/>
  <c r="G580" i="3"/>
  <c r="H580" i="3" s="1"/>
  <c r="G624" i="3"/>
  <c r="H624" i="3" s="1"/>
  <c r="G536" i="3"/>
  <c r="H536" i="3" s="1"/>
  <c r="G448" i="3"/>
  <c r="H448" i="3" s="1"/>
  <c r="G404" i="3"/>
  <c r="H404" i="3" s="1"/>
  <c r="G316" i="3"/>
  <c r="H316" i="3" s="1"/>
  <c r="G492" i="3"/>
  <c r="H492" i="3" s="1"/>
  <c r="G360" i="3"/>
  <c r="H360" i="3" s="1"/>
  <c r="G272" i="3"/>
  <c r="H272" i="3" s="1"/>
  <c r="G184" i="3"/>
  <c r="H184" i="3" s="1"/>
  <c r="G96" i="3"/>
  <c r="H96" i="3" s="1"/>
  <c r="G52" i="3"/>
  <c r="H52" i="3" s="1"/>
  <c r="G624" i="2"/>
  <c r="H624" i="2" s="1"/>
  <c r="G228" i="3"/>
  <c r="H228" i="3" s="1"/>
  <c r="G140" i="3"/>
  <c r="H140" i="3" s="1"/>
  <c r="G668" i="2"/>
  <c r="H668" i="2" s="1"/>
  <c r="G580" i="2"/>
  <c r="H580" i="2" s="1"/>
  <c r="G492" i="2"/>
  <c r="H492" i="2" s="1"/>
  <c r="G404" i="2"/>
  <c r="H404" i="2" s="1"/>
  <c r="G316" i="2"/>
  <c r="H316" i="2" s="1"/>
  <c r="G228" i="2"/>
  <c r="H228" i="2" s="1"/>
  <c r="G140" i="2"/>
  <c r="H140" i="2" s="1"/>
  <c r="G96" i="2"/>
  <c r="H96" i="2" s="1"/>
  <c r="G536" i="2"/>
  <c r="H536" i="2" s="1"/>
  <c r="G448" i="2"/>
  <c r="H448" i="2" s="1"/>
  <c r="G360" i="2"/>
  <c r="H360" i="2" s="1"/>
  <c r="G272" i="2"/>
  <c r="H272" i="2" s="1"/>
  <c r="K670" i="3"/>
  <c r="L670" i="3" s="1"/>
  <c r="K582" i="3"/>
  <c r="L582" i="3" s="1"/>
  <c r="K626" i="3"/>
  <c r="L626" i="3" s="1"/>
  <c r="K538" i="3"/>
  <c r="L538" i="3" s="1"/>
  <c r="K450" i="3"/>
  <c r="L450" i="3" s="1"/>
  <c r="K406" i="3"/>
  <c r="L406" i="3" s="1"/>
  <c r="K318" i="3"/>
  <c r="L318" i="3" s="1"/>
  <c r="K494" i="3"/>
  <c r="L494" i="3" s="1"/>
  <c r="K362" i="3"/>
  <c r="L362" i="3" s="1"/>
  <c r="K274" i="3"/>
  <c r="L274" i="3" s="1"/>
  <c r="K186" i="3"/>
  <c r="L186" i="3" s="1"/>
  <c r="K98" i="3"/>
  <c r="L98" i="3" s="1"/>
  <c r="K626" i="2"/>
  <c r="L626" i="2" s="1"/>
  <c r="K230" i="3"/>
  <c r="L230" i="3" s="1"/>
  <c r="K142" i="3"/>
  <c r="L142" i="3" s="1"/>
  <c r="K54" i="3"/>
  <c r="L54" i="3" s="1"/>
  <c r="K670" i="2"/>
  <c r="L670" i="2" s="1"/>
  <c r="K582" i="2"/>
  <c r="L582" i="2" s="1"/>
  <c r="K494" i="2"/>
  <c r="L494" i="2" s="1"/>
  <c r="K406" i="2"/>
  <c r="L406" i="2" s="1"/>
  <c r="K318" i="2"/>
  <c r="L318" i="2" s="1"/>
  <c r="K230" i="2"/>
  <c r="L230" i="2" s="1"/>
  <c r="K142" i="2"/>
  <c r="L142" i="2" s="1"/>
  <c r="K98" i="2"/>
  <c r="L98" i="2" s="1"/>
  <c r="K538" i="2"/>
  <c r="L538" i="2" s="1"/>
  <c r="K450" i="2"/>
  <c r="L450" i="2" s="1"/>
  <c r="K362" i="2"/>
  <c r="L362" i="2" s="1"/>
  <c r="K274" i="2"/>
  <c r="L274" i="2" s="1"/>
  <c r="G672" i="3"/>
  <c r="H672" i="3" s="1"/>
  <c r="G584" i="3"/>
  <c r="H584" i="3" s="1"/>
  <c r="G628" i="3"/>
  <c r="H628" i="3" s="1"/>
  <c r="G540" i="3"/>
  <c r="H540" i="3" s="1"/>
  <c r="G452" i="3"/>
  <c r="H452" i="3" s="1"/>
  <c r="G496" i="3"/>
  <c r="H496" i="3" s="1"/>
  <c r="G408" i="3"/>
  <c r="G320" i="3"/>
  <c r="H320" i="3" s="1"/>
  <c r="G364" i="3"/>
  <c r="H364" i="3" s="1"/>
  <c r="G276" i="3"/>
  <c r="H276" i="3" s="1"/>
  <c r="G188" i="3"/>
  <c r="H188" i="3" s="1"/>
  <c r="G100" i="3"/>
  <c r="H100" i="3" s="1"/>
  <c r="G628" i="2"/>
  <c r="H628" i="2" s="1"/>
  <c r="G232" i="3"/>
  <c r="H232" i="3" s="1"/>
  <c r="G144" i="3"/>
  <c r="H144" i="3" s="1"/>
  <c r="G56" i="3"/>
  <c r="H56" i="3" s="1"/>
  <c r="G672" i="2"/>
  <c r="H672" i="2" s="1"/>
  <c r="G584" i="2"/>
  <c r="H584" i="2" s="1"/>
  <c r="G496" i="2"/>
  <c r="H496" i="2" s="1"/>
  <c r="G408" i="2"/>
  <c r="H408" i="2" s="1"/>
  <c r="G320" i="2"/>
  <c r="H320" i="2" s="1"/>
  <c r="G232" i="2"/>
  <c r="H232" i="2" s="1"/>
  <c r="G144" i="2"/>
  <c r="H144" i="2" s="1"/>
  <c r="G100" i="2"/>
  <c r="H100" i="2" s="1"/>
  <c r="G540" i="2"/>
  <c r="H540" i="2" s="1"/>
  <c r="G452" i="2"/>
  <c r="H452" i="2" s="1"/>
  <c r="G364" i="2"/>
  <c r="G276" i="2"/>
  <c r="H276" i="2" s="1"/>
  <c r="G673" i="3"/>
  <c r="H673" i="3" s="1"/>
  <c r="G629" i="3"/>
  <c r="H629" i="3" s="1"/>
  <c r="G541" i="3"/>
  <c r="H541" i="3" s="1"/>
  <c r="G585" i="3"/>
  <c r="H585" i="3" s="1"/>
  <c r="G497" i="3"/>
  <c r="H497" i="3" s="1"/>
  <c r="G453" i="3"/>
  <c r="H453" i="3" s="1"/>
  <c r="G365" i="3"/>
  <c r="H365" i="3" s="1"/>
  <c r="G409" i="3"/>
  <c r="H409" i="3" s="1"/>
  <c r="G233" i="3"/>
  <c r="H233" i="3" s="1"/>
  <c r="G145" i="3"/>
  <c r="H145" i="3" s="1"/>
  <c r="G57" i="3"/>
  <c r="H57" i="3" s="1"/>
  <c r="G673" i="2"/>
  <c r="G321" i="3"/>
  <c r="H321" i="3" s="1"/>
  <c r="G277" i="3"/>
  <c r="H277" i="3" s="1"/>
  <c r="G189" i="3"/>
  <c r="H189" i="3" s="1"/>
  <c r="G101" i="3"/>
  <c r="H101" i="3" s="1"/>
  <c r="G541" i="2"/>
  <c r="H541" i="2" s="1"/>
  <c r="G453" i="2"/>
  <c r="H453" i="2" s="1"/>
  <c r="G365" i="2"/>
  <c r="H365" i="2" s="1"/>
  <c r="G277" i="2"/>
  <c r="H277" i="2" s="1"/>
  <c r="G189" i="2"/>
  <c r="H189" i="2" s="1"/>
  <c r="G57" i="2"/>
  <c r="H57" i="2" s="1"/>
  <c r="G629" i="2"/>
  <c r="H629" i="2" s="1"/>
  <c r="G585" i="2"/>
  <c r="H585" i="2" s="1"/>
  <c r="G497" i="2"/>
  <c r="H497" i="2" s="1"/>
  <c r="G409" i="2"/>
  <c r="G321" i="2"/>
  <c r="H321" i="2" s="1"/>
  <c r="G233" i="2"/>
  <c r="H233" i="2" s="1"/>
  <c r="G674" i="3"/>
  <c r="H674" i="3" s="1"/>
  <c r="G630" i="3"/>
  <c r="H630" i="3" s="1"/>
  <c r="G542" i="3"/>
  <c r="H542" i="3" s="1"/>
  <c r="G586" i="3"/>
  <c r="H586" i="3" s="1"/>
  <c r="G498" i="3"/>
  <c r="H498" i="3" s="1"/>
  <c r="G454" i="3"/>
  <c r="H454" i="3" s="1"/>
  <c r="G366" i="3"/>
  <c r="H366" i="3" s="1"/>
  <c r="G410" i="3"/>
  <c r="H410" i="3" s="1"/>
  <c r="G234" i="3"/>
  <c r="H234" i="3" s="1"/>
  <c r="G146" i="3"/>
  <c r="H146" i="3" s="1"/>
  <c r="G58" i="3"/>
  <c r="H58" i="3" s="1"/>
  <c r="G674" i="2"/>
  <c r="H674" i="2" s="1"/>
  <c r="G322" i="3"/>
  <c r="H322" i="3" s="1"/>
  <c r="G278" i="3"/>
  <c r="H278" i="3" s="1"/>
  <c r="G190" i="3"/>
  <c r="H190" i="3" s="1"/>
  <c r="G102" i="3"/>
  <c r="H102" i="3" s="1"/>
  <c r="G542" i="2"/>
  <c r="H542" i="2" s="1"/>
  <c r="G454" i="2"/>
  <c r="H454" i="2" s="1"/>
  <c r="G366" i="2"/>
  <c r="H366" i="2" s="1"/>
  <c r="G278" i="2"/>
  <c r="H278" i="2" s="1"/>
  <c r="G190" i="2"/>
  <c r="H190" i="2" s="1"/>
  <c r="G102" i="2"/>
  <c r="H102" i="2" s="1"/>
  <c r="G58" i="2"/>
  <c r="H58" i="2" s="1"/>
  <c r="G630" i="2"/>
  <c r="H630" i="2" s="1"/>
  <c r="G586" i="2"/>
  <c r="H586" i="2" s="1"/>
  <c r="G498" i="2"/>
  <c r="H498" i="2" s="1"/>
  <c r="G410" i="2"/>
  <c r="H410" i="2" s="1"/>
  <c r="G322" i="2"/>
  <c r="H322" i="2" s="1"/>
  <c r="G234" i="2"/>
  <c r="H234" i="2" s="1"/>
  <c r="G6" i="2"/>
  <c r="H6" i="2" s="1"/>
  <c r="G7" i="2"/>
  <c r="H7" i="2" s="1"/>
  <c r="G8" i="2"/>
  <c r="H8" i="2" s="1"/>
  <c r="K10" i="2"/>
  <c r="L10" i="2" s="1"/>
  <c r="G11" i="2"/>
  <c r="H11" i="2" s="1"/>
  <c r="K12" i="2"/>
  <c r="L12" i="2" s="1"/>
  <c r="K17" i="2" s="1"/>
  <c r="G13" i="2"/>
  <c r="H13" i="2" s="1"/>
  <c r="G14" i="2"/>
  <c r="H14" i="2" s="1"/>
  <c r="G15" i="2"/>
  <c r="H15" i="2" s="1"/>
  <c r="K15" i="2"/>
  <c r="L15" i="2" s="1"/>
  <c r="D5" i="7"/>
  <c r="D4" i="7"/>
  <c r="C5" i="4"/>
  <c r="C4" i="4"/>
  <c r="K30" i="2"/>
  <c r="L30" i="2" s="1"/>
  <c r="G47" i="2"/>
  <c r="H47" i="2" s="1"/>
  <c r="G48" i="2"/>
  <c r="H48" i="2" s="1"/>
  <c r="K50" i="2"/>
  <c r="L50" i="2" s="1"/>
  <c r="G51" i="2"/>
  <c r="H51" i="2" s="1"/>
  <c r="K51" i="2"/>
  <c r="L51" i="2" s="1"/>
  <c r="G52" i="2"/>
  <c r="H52" i="2" s="1"/>
  <c r="K52" i="2"/>
  <c r="L52" i="2" s="1"/>
  <c r="G56" i="2"/>
  <c r="H56" i="2" s="1"/>
  <c r="A66" i="2"/>
  <c r="G66" i="2"/>
  <c r="H66" i="2" s="1"/>
  <c r="G67" i="2"/>
  <c r="H67" i="2" s="1"/>
  <c r="G72" i="2"/>
  <c r="H72" i="2" s="1"/>
  <c r="G73" i="2"/>
  <c r="H73" i="2" s="1"/>
  <c r="G101" i="2"/>
  <c r="H101" i="2" s="1"/>
  <c r="A110" i="2"/>
  <c r="G116" i="2"/>
  <c r="H116" i="2" s="1"/>
  <c r="G117" i="2"/>
  <c r="H117" i="2" s="1"/>
  <c r="G145" i="2"/>
  <c r="H145" i="2" s="1"/>
  <c r="G146" i="2"/>
  <c r="H146" i="2" s="1"/>
  <c r="K162" i="2"/>
  <c r="L162" i="2" s="1"/>
  <c r="G167" i="2"/>
  <c r="H167" i="2" s="1"/>
  <c r="G173" i="2"/>
  <c r="H173" i="2" s="1"/>
  <c r="G188" i="2"/>
  <c r="G638" i="3"/>
  <c r="H638" i="3" s="1"/>
  <c r="G594" i="3"/>
  <c r="H594" i="3" s="1"/>
  <c r="G506" i="3"/>
  <c r="H506" i="3" s="1"/>
  <c r="G550" i="3"/>
  <c r="H550" i="3" s="1"/>
  <c r="G462" i="3"/>
  <c r="H462" i="3" s="1"/>
  <c r="G418" i="3"/>
  <c r="H418" i="3" s="1"/>
  <c r="G330" i="3"/>
  <c r="H330" i="3" s="1"/>
  <c r="G374" i="3"/>
  <c r="H374" i="3" s="1"/>
  <c r="G286" i="3"/>
  <c r="H286" i="3" s="1"/>
  <c r="G198" i="3"/>
  <c r="H198" i="3" s="1"/>
  <c r="G110" i="3"/>
  <c r="H110" i="3" s="1"/>
  <c r="G638" i="2"/>
  <c r="H638" i="2" s="1"/>
  <c r="G242" i="3"/>
  <c r="H242" i="3" s="1"/>
  <c r="G154" i="3"/>
  <c r="H154" i="3" s="1"/>
  <c r="G66" i="3"/>
  <c r="H66" i="3" s="1"/>
  <c r="G22" i="3"/>
  <c r="H22" i="3" s="1"/>
  <c r="G594" i="2"/>
  <c r="H594" i="2" s="1"/>
  <c r="G506" i="2"/>
  <c r="H506" i="2" s="1"/>
  <c r="G418" i="2"/>
  <c r="H418" i="2" s="1"/>
  <c r="G330" i="2"/>
  <c r="H330" i="2" s="1"/>
  <c r="G242" i="2"/>
  <c r="H242" i="2" s="1"/>
  <c r="G154" i="2"/>
  <c r="H154" i="2" s="1"/>
  <c r="G550" i="2"/>
  <c r="H550" i="2" s="1"/>
  <c r="G462" i="2"/>
  <c r="H462" i="2" s="1"/>
  <c r="G374" i="2"/>
  <c r="H374" i="2" s="1"/>
  <c r="G286" i="2"/>
  <c r="H286" i="2" s="1"/>
  <c r="G639" i="3"/>
  <c r="H639" i="3" s="1"/>
  <c r="G595" i="3"/>
  <c r="H595" i="3" s="1"/>
  <c r="G507" i="3"/>
  <c r="H507" i="3" s="1"/>
  <c r="G551" i="3"/>
  <c r="H551" i="3" s="1"/>
  <c r="G463" i="3"/>
  <c r="H463" i="3" s="1"/>
  <c r="G419" i="3"/>
  <c r="H419" i="3" s="1"/>
  <c r="G331" i="3"/>
  <c r="H331" i="3" s="1"/>
  <c r="G375" i="3"/>
  <c r="H375" i="3" s="1"/>
  <c r="G287" i="3"/>
  <c r="H287" i="3" s="1"/>
  <c r="G199" i="3"/>
  <c r="H199" i="3" s="1"/>
  <c r="G111" i="3"/>
  <c r="H111" i="3" s="1"/>
  <c r="G639" i="2"/>
  <c r="H639" i="2" s="1"/>
  <c r="G243" i="3"/>
  <c r="H243" i="3" s="1"/>
  <c r="G155" i="3"/>
  <c r="H155" i="3" s="1"/>
  <c r="G67" i="3"/>
  <c r="H67" i="3" s="1"/>
  <c r="G23" i="3"/>
  <c r="H23" i="3" s="1"/>
  <c r="G595" i="2"/>
  <c r="H595" i="2" s="1"/>
  <c r="G507" i="2"/>
  <c r="H507" i="2" s="1"/>
  <c r="G419" i="2"/>
  <c r="H419" i="2" s="1"/>
  <c r="G331" i="2"/>
  <c r="H331" i="2" s="1"/>
  <c r="G243" i="2"/>
  <c r="H243" i="2" s="1"/>
  <c r="G155" i="2"/>
  <c r="H155" i="2" s="1"/>
  <c r="G551" i="2"/>
  <c r="H551" i="2" s="1"/>
  <c r="G463" i="2"/>
  <c r="H463" i="2" s="1"/>
  <c r="G375" i="2"/>
  <c r="H375" i="2" s="1"/>
  <c r="G287" i="2"/>
  <c r="H287" i="2" s="1"/>
  <c r="K666" i="3"/>
  <c r="L666" i="3" s="1"/>
  <c r="K578" i="3"/>
  <c r="L578" i="3" s="1"/>
  <c r="K622" i="3"/>
  <c r="L622" i="3" s="1"/>
  <c r="K534" i="3"/>
  <c r="L534" i="3" s="1"/>
  <c r="K446" i="3"/>
  <c r="L446" i="3" s="1"/>
  <c r="K490" i="3"/>
  <c r="L490" i="3" s="1"/>
  <c r="K402" i="3"/>
  <c r="L402" i="3" s="1"/>
  <c r="K314" i="3"/>
  <c r="L314" i="3" s="1"/>
  <c r="K358" i="3"/>
  <c r="L358" i="3" s="1"/>
  <c r="K270" i="3"/>
  <c r="L270" i="3" s="1"/>
  <c r="K182" i="3"/>
  <c r="L182" i="3" s="1"/>
  <c r="K94" i="3"/>
  <c r="L94" i="3" s="1"/>
  <c r="K50" i="3"/>
  <c r="L50" i="3" s="1"/>
  <c r="K622" i="2"/>
  <c r="L622" i="2" s="1"/>
  <c r="K226" i="3"/>
  <c r="L226" i="3" s="1"/>
  <c r="K138" i="3"/>
  <c r="L138" i="3" s="1"/>
  <c r="K666" i="2"/>
  <c r="L666" i="2" s="1"/>
  <c r="K578" i="2"/>
  <c r="L578" i="2" s="1"/>
  <c r="K490" i="2"/>
  <c r="L490" i="2" s="1"/>
  <c r="K402" i="2"/>
  <c r="L402" i="2" s="1"/>
  <c r="K314" i="2"/>
  <c r="L314" i="2" s="1"/>
  <c r="K226" i="2"/>
  <c r="L226" i="2" s="1"/>
  <c r="K138" i="2"/>
  <c r="L138" i="2" s="1"/>
  <c r="K94" i="2"/>
  <c r="L94" i="2" s="1"/>
  <c r="K534" i="2"/>
  <c r="L534" i="2" s="1"/>
  <c r="K446" i="2"/>
  <c r="L446" i="2" s="1"/>
  <c r="K358" i="2"/>
  <c r="L358" i="2" s="1"/>
  <c r="K270" i="2"/>
  <c r="L270" i="2" s="1"/>
  <c r="K667" i="3"/>
  <c r="L667" i="3" s="1"/>
  <c r="K579" i="3"/>
  <c r="L579" i="3" s="1"/>
  <c r="K623" i="3"/>
  <c r="L623" i="3" s="1"/>
  <c r="K535" i="3"/>
  <c r="L535" i="3" s="1"/>
  <c r="K447" i="3"/>
  <c r="L447" i="3" s="1"/>
  <c r="K491" i="3"/>
  <c r="L491" i="3" s="1"/>
  <c r="K403" i="3"/>
  <c r="L403" i="3" s="1"/>
  <c r="K315" i="3"/>
  <c r="L315" i="3" s="1"/>
  <c r="K359" i="3"/>
  <c r="L359" i="3" s="1"/>
  <c r="K271" i="3"/>
  <c r="L271" i="3" s="1"/>
  <c r="K183" i="3"/>
  <c r="L183" i="3" s="1"/>
  <c r="K95" i="3"/>
  <c r="L95" i="3" s="1"/>
  <c r="K51" i="3"/>
  <c r="L51" i="3" s="1"/>
  <c r="K623" i="2"/>
  <c r="L623" i="2" s="1"/>
  <c r="K227" i="3"/>
  <c r="L227" i="3" s="1"/>
  <c r="K139" i="3"/>
  <c r="L139" i="3" s="1"/>
  <c r="K667" i="2"/>
  <c r="L667" i="2" s="1"/>
  <c r="K579" i="2"/>
  <c r="L579" i="2" s="1"/>
  <c r="K491" i="2"/>
  <c r="L491" i="2" s="1"/>
  <c r="K403" i="2"/>
  <c r="L403" i="2" s="1"/>
  <c r="K315" i="2"/>
  <c r="L315" i="2" s="1"/>
  <c r="K227" i="2"/>
  <c r="L227" i="2" s="1"/>
  <c r="K139" i="2"/>
  <c r="L139" i="2" s="1"/>
  <c r="K95" i="2"/>
  <c r="L95" i="2" s="1"/>
  <c r="K535" i="2"/>
  <c r="L535" i="2" s="1"/>
  <c r="K447" i="2"/>
  <c r="L447" i="2" s="1"/>
  <c r="K359" i="2"/>
  <c r="L359" i="2" s="1"/>
  <c r="K271" i="2"/>
  <c r="L271" i="2" s="1"/>
  <c r="K668" i="3"/>
  <c r="L668" i="3" s="1"/>
  <c r="K580" i="3"/>
  <c r="L580" i="3" s="1"/>
  <c r="K624" i="3"/>
  <c r="L624" i="3" s="1"/>
  <c r="K536" i="3"/>
  <c r="L536" i="3" s="1"/>
  <c r="K448" i="3"/>
  <c r="L448" i="3" s="1"/>
  <c r="K492" i="3"/>
  <c r="L492" i="3" s="1"/>
  <c r="K404" i="3"/>
  <c r="L404" i="3" s="1"/>
  <c r="K316" i="3"/>
  <c r="L316" i="3" s="1"/>
  <c r="K360" i="3"/>
  <c r="L360" i="3" s="1"/>
  <c r="K272" i="3"/>
  <c r="L272" i="3" s="1"/>
  <c r="K184" i="3"/>
  <c r="L184" i="3" s="1"/>
  <c r="K96" i="3"/>
  <c r="L96" i="3" s="1"/>
  <c r="K52" i="3"/>
  <c r="L52" i="3" s="1"/>
  <c r="K624" i="2"/>
  <c r="L624" i="2" s="1"/>
  <c r="K228" i="3"/>
  <c r="L228" i="3" s="1"/>
  <c r="K140" i="3"/>
  <c r="L140" i="3" s="1"/>
  <c r="K668" i="2"/>
  <c r="L668" i="2" s="1"/>
  <c r="K580" i="2"/>
  <c r="L580" i="2" s="1"/>
  <c r="K492" i="2"/>
  <c r="L492" i="2" s="1"/>
  <c r="K404" i="2"/>
  <c r="L404" i="2" s="1"/>
  <c r="K316" i="2"/>
  <c r="L316" i="2" s="1"/>
  <c r="K228" i="2"/>
  <c r="L228" i="2" s="1"/>
  <c r="K140" i="2"/>
  <c r="L140" i="2" s="1"/>
  <c r="K96" i="2"/>
  <c r="L96" i="2" s="1"/>
  <c r="K536" i="2"/>
  <c r="L536" i="2" s="1"/>
  <c r="K448" i="2"/>
  <c r="L448" i="2" s="1"/>
  <c r="K360" i="2"/>
  <c r="L360" i="2" s="1"/>
  <c r="K272" i="2"/>
  <c r="L272" i="2" s="1"/>
  <c r="G22" i="2"/>
  <c r="H22" i="2" s="1"/>
  <c r="G23" i="2"/>
  <c r="H23" i="2" s="1"/>
  <c r="G28" i="2"/>
  <c r="H28" i="2" s="1"/>
  <c r="G29" i="2"/>
  <c r="H29" i="2" s="1"/>
  <c r="G35" i="2"/>
  <c r="H35" i="2" s="1"/>
  <c r="G41" i="2"/>
  <c r="H41" i="2" s="1"/>
  <c r="K54" i="2"/>
  <c r="L54" i="2" s="1"/>
  <c r="A69" i="2"/>
  <c r="A113" i="2"/>
  <c r="F188" i="2"/>
  <c r="A178" i="2"/>
  <c r="A179" i="2"/>
  <c r="G179" i="2"/>
  <c r="H179" i="2" s="1"/>
  <c r="A180" i="2"/>
  <c r="G180" i="2"/>
  <c r="H180" i="2" s="1"/>
  <c r="A181" i="2"/>
  <c r="A182" i="2"/>
  <c r="G182" i="2"/>
  <c r="H182" i="2" s="1"/>
  <c r="A183" i="2"/>
  <c r="G183" i="2"/>
  <c r="H183" i="2" s="1"/>
  <c r="G184" i="2"/>
  <c r="H184" i="2" s="1"/>
  <c r="A190" i="2"/>
  <c r="A188" i="2"/>
  <c r="A186" i="2"/>
  <c r="K186" i="2"/>
  <c r="L186" i="2" s="1"/>
  <c r="A198" i="2"/>
  <c r="G198" i="2"/>
  <c r="H198" i="2" s="1"/>
  <c r="G199" i="2"/>
  <c r="H199" i="2" s="1"/>
  <c r="G204" i="2"/>
  <c r="H204" i="2" s="1"/>
  <c r="G205" i="2"/>
  <c r="H205" i="2" s="1"/>
  <c r="A255" i="2"/>
  <c r="A256" i="2"/>
  <c r="A261" i="2"/>
  <c r="A262" i="2"/>
  <c r="A264" i="2" s="1"/>
  <c r="A266" i="2"/>
  <c r="A267" i="2"/>
  <c r="A268" i="2"/>
  <c r="A269" i="2"/>
  <c r="A270" i="2"/>
  <c r="A271" i="2"/>
  <c r="A275" i="2"/>
  <c r="A277" i="2"/>
  <c r="A286" i="2"/>
  <c r="A289" i="2"/>
  <c r="A343" i="2"/>
  <c r="A344" i="2"/>
  <c r="A349" i="2"/>
  <c r="A350" i="2"/>
  <c r="A352" i="2" s="1"/>
  <c r="A354" i="2"/>
  <c r="A355" i="2"/>
  <c r="A356" i="2"/>
  <c r="A357" i="2"/>
  <c r="A358" i="2"/>
  <c r="A359" i="2"/>
  <c r="A363" i="2"/>
  <c r="A365" i="2"/>
  <c r="A374" i="2"/>
  <c r="A377" i="2"/>
  <c r="A431" i="2"/>
  <c r="A432" i="2"/>
  <c r="A437" i="2"/>
  <c r="A438" i="2"/>
  <c r="A440" i="2" s="1"/>
  <c r="A442" i="2"/>
  <c r="A443" i="2"/>
  <c r="A444" i="2"/>
  <c r="A445" i="2"/>
  <c r="A446" i="2"/>
  <c r="A447" i="2"/>
  <c r="A451" i="2"/>
  <c r="A453" i="2"/>
  <c r="A462" i="2"/>
  <c r="A465" i="2"/>
  <c r="A519" i="2"/>
  <c r="A520" i="2"/>
  <c r="A525" i="2"/>
  <c r="A526" i="2"/>
  <c r="A528" i="2" s="1"/>
  <c r="A530" i="2"/>
  <c r="A531" i="2"/>
  <c r="A532" i="2"/>
  <c r="A533" i="2"/>
  <c r="A534" i="2"/>
  <c r="A535" i="2"/>
  <c r="A539" i="2"/>
  <c r="A541" i="2"/>
  <c r="A550" i="2"/>
  <c r="A553" i="2"/>
  <c r="A668" i="2"/>
  <c r="A667" i="2"/>
  <c r="A666" i="2"/>
  <c r="A665" i="2"/>
  <c r="A664" i="2"/>
  <c r="A663" i="2"/>
  <c r="A79" i="2"/>
  <c r="A80" i="2"/>
  <c r="A85" i="2"/>
  <c r="A86" i="2"/>
  <c r="A88" i="2" s="1"/>
  <c r="A90" i="2"/>
  <c r="A91" i="2"/>
  <c r="A92" i="2"/>
  <c r="A93" i="2"/>
  <c r="A94" i="2"/>
  <c r="A95" i="2"/>
  <c r="A99" i="2"/>
  <c r="A123" i="2"/>
  <c r="A124" i="2"/>
  <c r="A129" i="2"/>
  <c r="A130" i="2"/>
  <c r="A132" i="2" s="1"/>
  <c r="A134" i="2"/>
  <c r="A135" i="2"/>
  <c r="A136" i="2"/>
  <c r="A137" i="2"/>
  <c r="A138" i="2"/>
  <c r="A139" i="2"/>
  <c r="A143" i="2"/>
  <c r="A154" i="2"/>
  <c r="A157" i="2"/>
  <c r="A211" i="2"/>
  <c r="A212" i="2"/>
  <c r="A217" i="2"/>
  <c r="A218" i="2"/>
  <c r="A220" i="2" s="1"/>
  <c r="A222" i="2"/>
  <c r="A223" i="2"/>
  <c r="A224" i="2"/>
  <c r="A225" i="2"/>
  <c r="A226" i="2"/>
  <c r="A227" i="2"/>
  <c r="A231" i="2"/>
  <c r="A242" i="2"/>
  <c r="A245" i="2"/>
  <c r="A274" i="2"/>
  <c r="A276" i="2"/>
  <c r="A299" i="2"/>
  <c r="A300" i="2"/>
  <c r="A305" i="2"/>
  <c r="A306" i="2"/>
  <c r="A308" i="2" s="1"/>
  <c r="A310" i="2"/>
  <c r="A311" i="2"/>
  <c r="A312" i="2"/>
  <c r="A313" i="2"/>
  <c r="A314" i="2"/>
  <c r="A315" i="2"/>
  <c r="A319" i="2"/>
  <c r="A330" i="2"/>
  <c r="A333" i="2"/>
  <c r="A362" i="2"/>
  <c r="A364" i="2"/>
  <c r="A387" i="2"/>
  <c r="A388" i="2"/>
  <c r="A393" i="2"/>
  <c r="A394" i="2"/>
  <c r="A396" i="2" s="1"/>
  <c r="A398" i="2"/>
  <c r="A399" i="2"/>
  <c r="A400" i="2"/>
  <c r="A401" i="2"/>
  <c r="A402" i="2"/>
  <c r="A403" i="2"/>
  <c r="A407" i="2"/>
  <c r="A418" i="2"/>
  <c r="A421" i="2"/>
  <c r="A450" i="2"/>
  <c r="A452" i="2"/>
  <c r="A475" i="2"/>
  <c r="A476" i="2"/>
  <c r="A481" i="2"/>
  <c r="A482" i="2"/>
  <c r="A484" i="2" s="1"/>
  <c r="A486" i="2"/>
  <c r="A487" i="2"/>
  <c r="A488" i="2"/>
  <c r="A489" i="2"/>
  <c r="A490" i="2"/>
  <c r="A491" i="2"/>
  <c r="A495" i="2"/>
  <c r="A506" i="2"/>
  <c r="A509" i="2"/>
  <c r="A538" i="2"/>
  <c r="A540" i="2"/>
  <c r="A563" i="2"/>
  <c r="A564" i="2"/>
  <c r="A569" i="2"/>
  <c r="A570" i="2"/>
  <c r="A572" i="2" s="1"/>
  <c r="A574" i="2"/>
  <c r="A575" i="2"/>
  <c r="A576" i="2"/>
  <c r="A577" i="2"/>
  <c r="A578" i="2"/>
  <c r="A579" i="2"/>
  <c r="A583" i="2"/>
  <c r="A594" i="2"/>
  <c r="A597" i="2"/>
  <c r="F673" i="2"/>
  <c r="A662" i="2"/>
  <c r="A671" i="2"/>
  <c r="A673" i="2"/>
  <c r="A66" i="3"/>
  <c r="A69" i="3"/>
  <c r="A98" i="3"/>
  <c r="A100" i="3"/>
  <c r="A102" i="3"/>
  <c r="A123" i="3"/>
  <c r="A124" i="3"/>
  <c r="A129" i="3"/>
  <c r="A130" i="3"/>
  <c r="A132" i="3" s="1"/>
  <c r="A134" i="3"/>
  <c r="A135" i="3"/>
  <c r="A136" i="3"/>
  <c r="A137" i="3"/>
  <c r="A138" i="3"/>
  <c r="A139" i="3"/>
  <c r="A143" i="3"/>
  <c r="A154" i="3"/>
  <c r="A157" i="3"/>
  <c r="A186" i="3"/>
  <c r="A188" i="3"/>
  <c r="A190" i="3"/>
  <c r="A211" i="3"/>
  <c r="A212" i="3"/>
  <c r="A217" i="3"/>
  <c r="A218" i="3"/>
  <c r="A220" i="3" s="1"/>
  <c r="A222" i="3"/>
  <c r="A223" i="3"/>
  <c r="A224" i="3"/>
  <c r="A225" i="3"/>
  <c r="A226" i="3"/>
  <c r="A227" i="3"/>
  <c r="A231" i="3"/>
  <c r="A242" i="3"/>
  <c r="A245" i="3"/>
  <c r="A274" i="3"/>
  <c r="A276" i="3"/>
  <c r="A278" i="3"/>
  <c r="A343" i="3"/>
  <c r="A344" i="3"/>
  <c r="A607" i="2"/>
  <c r="A608" i="2"/>
  <c r="A613" i="2"/>
  <c r="A614" i="2"/>
  <c r="A616" i="2" s="1"/>
  <c r="A618" i="2"/>
  <c r="A619" i="2"/>
  <c r="A620" i="2"/>
  <c r="A621" i="2"/>
  <c r="A622" i="2"/>
  <c r="A623" i="2"/>
  <c r="A627" i="2"/>
  <c r="A638" i="2"/>
  <c r="A641" i="2"/>
  <c r="A670" i="2"/>
  <c r="A672" i="2"/>
  <c r="D19" i="7"/>
  <c r="C21" i="4"/>
  <c r="D20" i="7"/>
  <c r="C20" i="4"/>
  <c r="A79" i="3"/>
  <c r="D30" i="7" s="1"/>
  <c r="A80" i="3"/>
  <c r="A85" i="3"/>
  <c r="A86" i="3"/>
  <c r="A88" i="3" s="1"/>
  <c r="A90" i="3"/>
  <c r="A91" i="3"/>
  <c r="A92" i="3"/>
  <c r="A93" i="3"/>
  <c r="A94" i="3"/>
  <c r="A95" i="3"/>
  <c r="A99" i="3"/>
  <c r="A110" i="3"/>
  <c r="A113" i="3"/>
  <c r="A167" i="3"/>
  <c r="A168" i="3"/>
  <c r="A173" i="3"/>
  <c r="A174" i="3"/>
  <c r="A176" i="3" s="1"/>
  <c r="A178" i="3"/>
  <c r="A179" i="3"/>
  <c r="A180" i="3"/>
  <c r="A181" i="3"/>
  <c r="A182" i="3"/>
  <c r="A183" i="3"/>
  <c r="A187" i="3"/>
  <c r="A198" i="3"/>
  <c r="A201" i="3"/>
  <c r="A255" i="3"/>
  <c r="A256" i="3"/>
  <c r="A261" i="3"/>
  <c r="A262" i="3"/>
  <c r="A264" i="3" s="1"/>
  <c r="A266" i="3"/>
  <c r="A267" i="3"/>
  <c r="A268" i="3"/>
  <c r="A269" i="3"/>
  <c r="A270" i="3"/>
  <c r="A271" i="3"/>
  <c r="A275" i="3"/>
  <c r="A286" i="3"/>
  <c r="A289" i="3"/>
  <c r="C411" i="3"/>
  <c r="A349" i="3"/>
  <c r="A350" i="3"/>
  <c r="A352" i="3" s="1"/>
  <c r="A354" i="3"/>
  <c r="A355" i="3"/>
  <c r="A356" i="3"/>
  <c r="A357" i="3"/>
  <c r="A358" i="3"/>
  <c r="A359" i="3"/>
  <c r="A363" i="3"/>
  <c r="A365" i="3"/>
  <c r="A374" i="3"/>
  <c r="A377" i="3"/>
  <c r="A431" i="3"/>
  <c r="A432" i="3"/>
  <c r="A437" i="3"/>
  <c r="A438" i="3"/>
  <c r="A440" i="3" s="1"/>
  <c r="A448" i="3"/>
  <c r="A447" i="3"/>
  <c r="A446" i="3"/>
  <c r="A445" i="3"/>
  <c r="A444" i="3"/>
  <c r="A443" i="3"/>
  <c r="A442" i="3"/>
  <c r="A498" i="3"/>
  <c r="A496" i="3"/>
  <c r="A494" i="3"/>
  <c r="A299" i="3"/>
  <c r="A300" i="3"/>
  <c r="A305" i="3"/>
  <c r="A306" i="3"/>
  <c r="A308" i="3" s="1"/>
  <c r="A310" i="3"/>
  <c r="A311" i="3"/>
  <c r="A312" i="3"/>
  <c r="A313" i="3"/>
  <c r="A314" i="3"/>
  <c r="A315" i="3"/>
  <c r="A319" i="3"/>
  <c r="A330" i="3"/>
  <c r="A333" i="3"/>
  <c r="A362" i="3"/>
  <c r="A364" i="3"/>
  <c r="A387" i="3"/>
  <c r="A388" i="3"/>
  <c r="A393" i="3"/>
  <c r="A394" i="3"/>
  <c r="A396" i="3" s="1"/>
  <c r="A398" i="3"/>
  <c r="A399" i="3"/>
  <c r="A400" i="3"/>
  <c r="A401" i="3"/>
  <c r="A402" i="3"/>
  <c r="A403" i="3"/>
  <c r="A407" i="3"/>
  <c r="A418" i="3"/>
  <c r="A421" i="3"/>
  <c r="A475" i="3"/>
  <c r="A476" i="3"/>
  <c r="A481" i="3"/>
  <c r="A482" i="3"/>
  <c r="A484" i="3" s="1"/>
  <c r="A495" i="3"/>
  <c r="A497" i="3"/>
  <c r="A451" i="3"/>
  <c r="A462" i="3"/>
  <c r="A465" i="3"/>
  <c r="A519" i="3"/>
  <c r="A520" i="3"/>
  <c r="A525" i="3"/>
  <c r="A526" i="3"/>
  <c r="A528" i="3" s="1"/>
  <c r="A530" i="3"/>
  <c r="A531" i="3"/>
  <c r="A532" i="3"/>
  <c r="A533" i="3"/>
  <c r="A534" i="3"/>
  <c r="A535" i="3"/>
  <c r="A539" i="3"/>
  <c r="A541" i="3"/>
  <c r="A550" i="3"/>
  <c r="A553" i="3"/>
  <c r="A607" i="3"/>
  <c r="A608" i="3"/>
  <c r="A613" i="3"/>
  <c r="A614" i="3"/>
  <c r="A616" i="3" s="1"/>
  <c r="A618" i="3"/>
  <c r="A619" i="3"/>
  <c r="A620" i="3"/>
  <c r="A621" i="3"/>
  <c r="A622" i="3"/>
  <c r="A623" i="3"/>
  <c r="A627" i="3"/>
  <c r="A629" i="3"/>
  <c r="A506" i="3"/>
  <c r="A509" i="3"/>
  <c r="A538" i="3"/>
  <c r="A540" i="3"/>
  <c r="A563" i="3"/>
  <c r="A564" i="3"/>
  <c r="A569" i="3"/>
  <c r="A570" i="3"/>
  <c r="A572" i="3" s="1"/>
  <c r="A574" i="3"/>
  <c r="A575" i="3"/>
  <c r="A576" i="3"/>
  <c r="A577" i="3"/>
  <c r="A578" i="3"/>
  <c r="A579" i="3"/>
  <c r="A583" i="3"/>
  <c r="A594" i="3"/>
  <c r="A597" i="3"/>
  <c r="A626" i="3"/>
  <c r="A628" i="3"/>
  <c r="A638" i="3"/>
  <c r="A641" i="3"/>
  <c r="A651" i="3"/>
  <c r="A652" i="3"/>
  <c r="A657" i="3"/>
  <c r="A658" i="3"/>
  <c r="A660" i="3" s="1"/>
  <c r="A662" i="3"/>
  <c r="A663" i="3"/>
  <c r="A664" i="3"/>
  <c r="A665" i="3"/>
  <c r="A666" i="3"/>
  <c r="A667" i="3"/>
  <c r="A671" i="3"/>
  <c r="C26" i="6"/>
  <c r="O2" i="4" s="1"/>
  <c r="M1" i="5" s="1"/>
  <c r="D35" i="7" s="1"/>
  <c r="G435" i="2" l="1"/>
  <c r="H435" i="2" s="1"/>
  <c r="G391" i="2"/>
  <c r="H391" i="2" s="1"/>
  <c r="G611" i="2"/>
  <c r="H611" i="2" s="1"/>
  <c r="G435" i="3"/>
  <c r="H435" i="3" s="1"/>
  <c r="G567" i="3"/>
  <c r="H567" i="3" s="1"/>
  <c r="G523" i="2"/>
  <c r="H523" i="2" s="1"/>
  <c r="I15" i="4" s="1"/>
  <c r="G479" i="2"/>
  <c r="H479" i="2" s="1"/>
  <c r="G39" i="3"/>
  <c r="H39" i="3" s="1"/>
  <c r="G479" i="3"/>
  <c r="H479" i="3" s="1"/>
  <c r="G655" i="3"/>
  <c r="H655" i="3" s="1"/>
  <c r="G39" i="2"/>
  <c r="H39" i="2" s="1"/>
  <c r="G83" i="2"/>
  <c r="H83" i="2" s="1"/>
  <c r="I5" i="4" s="1"/>
  <c r="G567" i="2"/>
  <c r="H567" i="2" s="1"/>
  <c r="G83" i="3"/>
  <c r="H83" i="3" s="1"/>
  <c r="G303" i="3"/>
  <c r="H303" i="3" s="1"/>
  <c r="G171" i="2"/>
  <c r="H171" i="2" s="1"/>
  <c r="G127" i="2"/>
  <c r="H127" i="2" s="1"/>
  <c r="G655" i="2"/>
  <c r="H655" i="2" s="1"/>
  <c r="I18" i="4" s="1"/>
  <c r="G171" i="3"/>
  <c r="H171" i="3" s="1"/>
  <c r="G391" i="3"/>
  <c r="H391" i="3" s="1"/>
  <c r="G259" i="2"/>
  <c r="H259" i="2" s="1"/>
  <c r="G215" i="2"/>
  <c r="H215" i="2" s="1"/>
  <c r="G127" i="3"/>
  <c r="H127" i="3" s="1"/>
  <c r="G259" i="3"/>
  <c r="H259" i="3" s="1"/>
  <c r="I25" i="4" s="1"/>
  <c r="G201" i="2"/>
  <c r="H201" i="2" s="1"/>
  <c r="G553" i="2"/>
  <c r="H553" i="2" s="1"/>
  <c r="G597" i="2"/>
  <c r="H597" i="2" s="1"/>
  <c r="G113" i="3"/>
  <c r="H113" i="3" s="1"/>
  <c r="G465" i="3"/>
  <c r="H465" i="3" s="1"/>
  <c r="F30" i="4" s="1"/>
  <c r="G69" i="2"/>
  <c r="H69" i="2" s="1"/>
  <c r="F5" i="4" s="1"/>
  <c r="G157" i="2"/>
  <c r="H157" i="2" s="1"/>
  <c r="F7" i="4" s="1"/>
  <c r="G69" i="3"/>
  <c r="H69" i="3" s="1"/>
  <c r="G201" i="3"/>
  <c r="H201" i="3" s="1"/>
  <c r="G553" i="3"/>
  <c r="H553" i="3" s="1"/>
  <c r="G113" i="2"/>
  <c r="H113" i="2" s="1"/>
  <c r="G245" i="2"/>
  <c r="H245" i="2" s="1"/>
  <c r="F9" i="4" s="1"/>
  <c r="G157" i="3"/>
  <c r="H157" i="3" s="1"/>
  <c r="G289" i="3"/>
  <c r="H289" i="3" s="1"/>
  <c r="G252" i="2"/>
  <c r="H252" i="2" s="1"/>
  <c r="G208" i="2"/>
  <c r="H208" i="2" s="1"/>
  <c r="G120" i="3"/>
  <c r="H120" i="3" s="1"/>
  <c r="G252" i="3"/>
  <c r="H252" i="3" s="1"/>
  <c r="G516" i="3"/>
  <c r="H516" i="3" s="1"/>
  <c r="G340" i="2"/>
  <c r="H340" i="2" s="1"/>
  <c r="G296" i="2"/>
  <c r="H296" i="2" s="1"/>
  <c r="G208" i="3"/>
  <c r="H208" i="3" s="1"/>
  <c r="G340" i="3"/>
  <c r="H340" i="3" s="1"/>
  <c r="G604" i="3"/>
  <c r="H604" i="3" s="1"/>
  <c r="G428" i="2"/>
  <c r="H428" i="2" s="1"/>
  <c r="G384" i="2"/>
  <c r="H384" i="2" s="1"/>
  <c r="G12" i="4" s="1"/>
  <c r="G604" i="2"/>
  <c r="H604" i="2" s="1"/>
  <c r="G428" i="3"/>
  <c r="H428" i="3" s="1"/>
  <c r="G560" i="3"/>
  <c r="H560" i="3" s="1"/>
  <c r="G32" i="4" s="1"/>
  <c r="G516" i="2"/>
  <c r="H516" i="2" s="1"/>
  <c r="G472" i="2"/>
  <c r="H472" i="2" s="1"/>
  <c r="G32" i="3"/>
  <c r="H32" i="3" s="1"/>
  <c r="G472" i="3"/>
  <c r="H472" i="3" s="1"/>
  <c r="G648" i="3"/>
  <c r="H648" i="3" s="1"/>
  <c r="G32" i="2"/>
  <c r="H32" i="2" s="1"/>
  <c r="G76" i="2"/>
  <c r="H76" i="2" s="1"/>
  <c r="G560" i="2"/>
  <c r="H560" i="2" s="1"/>
  <c r="G76" i="3"/>
  <c r="H76" i="3" s="1"/>
  <c r="G17" i="3"/>
  <c r="H407" i="3"/>
  <c r="K649" i="3"/>
  <c r="L649" i="3" s="1"/>
  <c r="K297" i="3"/>
  <c r="L297" i="3" s="1"/>
  <c r="K605" i="2"/>
  <c r="L605" i="2" s="1"/>
  <c r="K385" i="2"/>
  <c r="L385" i="2" s="1"/>
  <c r="K517" i="2"/>
  <c r="L517" i="2" s="1"/>
  <c r="K561" i="3"/>
  <c r="L561" i="3" s="1"/>
  <c r="K429" i="3"/>
  <c r="L429" i="3" s="1"/>
  <c r="K341" i="3"/>
  <c r="L341" i="3" s="1"/>
  <c r="K297" i="2"/>
  <c r="L297" i="2" s="1"/>
  <c r="K429" i="2"/>
  <c r="L429" i="2" s="1"/>
  <c r="K253" i="3"/>
  <c r="L253" i="3" s="1"/>
  <c r="K209" i="2"/>
  <c r="L209" i="2" s="1"/>
  <c r="K517" i="3"/>
  <c r="L517" i="3" s="1"/>
  <c r="K165" i="3"/>
  <c r="L165" i="3" s="1"/>
  <c r="K121" i="3"/>
  <c r="L121" i="3" s="1"/>
  <c r="K121" i="2"/>
  <c r="L121" i="2" s="1"/>
  <c r="K253" i="2"/>
  <c r="L253" i="2" s="1"/>
  <c r="K341" i="2"/>
  <c r="L341" i="2" s="1"/>
  <c r="K473" i="3"/>
  <c r="L473" i="3" s="1"/>
  <c r="K77" i="3"/>
  <c r="L77" i="3" s="1"/>
  <c r="K561" i="2"/>
  <c r="L561" i="2" s="1"/>
  <c r="K77" i="2"/>
  <c r="L77" i="2" s="1"/>
  <c r="K165" i="2"/>
  <c r="L165" i="2" s="1"/>
  <c r="K605" i="3"/>
  <c r="L605" i="3" s="1"/>
  <c r="K209" i="3"/>
  <c r="L209" i="3" s="1"/>
  <c r="K385" i="3"/>
  <c r="L385" i="3" s="1"/>
  <c r="K33" i="3"/>
  <c r="L33" i="3" s="1"/>
  <c r="K473" i="2"/>
  <c r="L473" i="2" s="1"/>
  <c r="K649" i="2"/>
  <c r="L649" i="2" s="1"/>
  <c r="K33" i="2"/>
  <c r="L33" i="2" s="1"/>
  <c r="K647" i="3"/>
  <c r="L647" i="3" s="1"/>
  <c r="K295" i="3"/>
  <c r="L295" i="3" s="1"/>
  <c r="K603" i="2"/>
  <c r="L603" i="2" s="1"/>
  <c r="K383" i="2"/>
  <c r="L383" i="2" s="1"/>
  <c r="K515" i="2"/>
  <c r="L515" i="2" s="1"/>
  <c r="K603" i="3"/>
  <c r="L603" i="3" s="1"/>
  <c r="K207" i="3"/>
  <c r="L207" i="3" s="1"/>
  <c r="K559" i="3"/>
  <c r="L559" i="3" s="1"/>
  <c r="K427" i="3"/>
  <c r="L427" i="3" s="1"/>
  <c r="K339" i="3"/>
  <c r="L339" i="3" s="1"/>
  <c r="K295" i="2"/>
  <c r="L295" i="2" s="1"/>
  <c r="K427" i="2"/>
  <c r="L427" i="2" s="1"/>
  <c r="K515" i="3"/>
  <c r="L515" i="3" s="1"/>
  <c r="K163" i="3"/>
  <c r="L163" i="3" s="1"/>
  <c r="K119" i="3"/>
  <c r="L119" i="3" s="1"/>
  <c r="K119" i="2"/>
  <c r="L119" i="2" s="1"/>
  <c r="K251" i="2"/>
  <c r="L251" i="2" s="1"/>
  <c r="K471" i="3"/>
  <c r="L471" i="3" s="1"/>
  <c r="K75" i="3"/>
  <c r="L75" i="3" s="1"/>
  <c r="K559" i="2"/>
  <c r="L559" i="2" s="1"/>
  <c r="K75" i="2"/>
  <c r="L75" i="2" s="1"/>
  <c r="K163" i="2"/>
  <c r="L163" i="2" s="1"/>
  <c r="K339" i="2"/>
  <c r="L339" i="2" s="1"/>
  <c r="K383" i="3"/>
  <c r="L383" i="3" s="1"/>
  <c r="K31" i="3"/>
  <c r="L31" i="3" s="1"/>
  <c r="K471" i="2"/>
  <c r="L471" i="2" s="1"/>
  <c r="K647" i="2"/>
  <c r="L647" i="2" s="1"/>
  <c r="K31" i="2"/>
  <c r="L31" i="2" s="1"/>
  <c r="K251" i="3"/>
  <c r="L251" i="3" s="1"/>
  <c r="K207" i="2"/>
  <c r="L207" i="2" s="1"/>
  <c r="K422" i="3"/>
  <c r="L422" i="3" s="1"/>
  <c r="K26" i="3"/>
  <c r="L26" i="3" s="1"/>
  <c r="K510" i="2"/>
  <c r="L510" i="2" s="1"/>
  <c r="K466" i="2"/>
  <c r="L466" i="2" s="1"/>
  <c r="K26" i="2"/>
  <c r="L26" i="2" s="1"/>
  <c r="K642" i="3"/>
  <c r="L642" i="3" s="1"/>
  <c r="K334" i="3"/>
  <c r="L334" i="3" s="1"/>
  <c r="K642" i="2"/>
  <c r="L642" i="2" s="1"/>
  <c r="K422" i="2"/>
  <c r="L422" i="2" s="1"/>
  <c r="K378" i="2"/>
  <c r="L378" i="2" s="1"/>
  <c r="K598" i="3"/>
  <c r="L598" i="3" s="1"/>
  <c r="K246" i="3"/>
  <c r="L246" i="3" s="1"/>
  <c r="K334" i="2"/>
  <c r="L334" i="2" s="1"/>
  <c r="K510" i="3"/>
  <c r="L510" i="3" s="1"/>
  <c r="K290" i="3"/>
  <c r="L290" i="3" s="1"/>
  <c r="K158" i="3"/>
  <c r="L158" i="3" s="1"/>
  <c r="K246" i="2"/>
  <c r="L246" i="2" s="1"/>
  <c r="K202" i="2"/>
  <c r="L202" i="2" s="1"/>
  <c r="K554" i="3"/>
  <c r="L554" i="3" s="1"/>
  <c r="K202" i="3"/>
  <c r="L202" i="3" s="1"/>
  <c r="K70" i="3"/>
  <c r="L70" i="3" s="1"/>
  <c r="K158" i="2"/>
  <c r="L158" i="2" s="1"/>
  <c r="K114" i="2"/>
  <c r="L114" i="2" s="1"/>
  <c r="K378" i="3"/>
  <c r="L378" i="3" s="1"/>
  <c r="K290" i="2"/>
  <c r="L290" i="2" s="1"/>
  <c r="K466" i="3"/>
  <c r="L466" i="3" s="1"/>
  <c r="K114" i="3"/>
  <c r="L114" i="3" s="1"/>
  <c r="K598" i="2"/>
  <c r="L598" i="2" s="1"/>
  <c r="K554" i="2"/>
  <c r="L554" i="2" s="1"/>
  <c r="K70" i="2"/>
  <c r="L70" i="2" s="1"/>
  <c r="K384" i="3"/>
  <c r="L384" i="3" s="1"/>
  <c r="K32" i="3"/>
  <c r="L32" i="3" s="1"/>
  <c r="K472" i="2"/>
  <c r="L472" i="2" s="1"/>
  <c r="K648" i="2"/>
  <c r="L648" i="2" s="1"/>
  <c r="K32" i="2"/>
  <c r="L32" i="2" s="1"/>
  <c r="K648" i="3"/>
  <c r="L648" i="3" s="1"/>
  <c r="K296" i="3"/>
  <c r="L296" i="3" s="1"/>
  <c r="K604" i="2"/>
  <c r="L604" i="2" s="1"/>
  <c r="K384" i="2"/>
  <c r="L384" i="2" s="1"/>
  <c r="K516" i="2"/>
  <c r="L516" i="2" s="1"/>
  <c r="K604" i="3"/>
  <c r="L604" i="3" s="1"/>
  <c r="K252" i="3"/>
  <c r="L252" i="3" s="1"/>
  <c r="K208" i="3"/>
  <c r="L208" i="3" s="1"/>
  <c r="K208" i="2"/>
  <c r="L208" i="2" s="1"/>
  <c r="K340" i="2"/>
  <c r="L340" i="2" s="1"/>
  <c r="K560" i="3"/>
  <c r="L560" i="3" s="1"/>
  <c r="K340" i="3"/>
  <c r="L340" i="3" s="1"/>
  <c r="K516" i="3"/>
  <c r="L516" i="3" s="1"/>
  <c r="K164" i="3"/>
  <c r="L164" i="3" s="1"/>
  <c r="K120" i="3"/>
  <c r="L120" i="3" s="1"/>
  <c r="K120" i="2"/>
  <c r="L120" i="2" s="1"/>
  <c r="K252" i="2"/>
  <c r="L252" i="2" s="1"/>
  <c r="K428" i="3"/>
  <c r="L428" i="3" s="1"/>
  <c r="K428" i="2"/>
  <c r="L428" i="2" s="1"/>
  <c r="K472" i="3"/>
  <c r="L472" i="3" s="1"/>
  <c r="K76" i="3"/>
  <c r="L76" i="3" s="1"/>
  <c r="K560" i="2"/>
  <c r="L560" i="2" s="1"/>
  <c r="K76" i="2"/>
  <c r="L76" i="2" s="1"/>
  <c r="K164" i="2"/>
  <c r="L164" i="2" s="1"/>
  <c r="K296" i="2"/>
  <c r="L296" i="2" s="1"/>
  <c r="G358" i="2"/>
  <c r="H358" i="2" s="1"/>
  <c r="G314" i="2"/>
  <c r="H314" i="2" s="1"/>
  <c r="G226" i="3"/>
  <c r="H226" i="3" s="1"/>
  <c r="G358" i="3"/>
  <c r="H358" i="3" s="1"/>
  <c r="G622" i="3"/>
  <c r="H622" i="3" s="1"/>
  <c r="K168" i="2"/>
  <c r="L168" i="2" s="1"/>
  <c r="K124" i="2"/>
  <c r="L124" i="2" s="1"/>
  <c r="K652" i="2"/>
  <c r="L652" i="2" s="1"/>
  <c r="K168" i="3"/>
  <c r="L168" i="3" s="1"/>
  <c r="K388" i="3"/>
  <c r="L388" i="3" s="1"/>
  <c r="K199" i="2"/>
  <c r="L199" i="2" s="1"/>
  <c r="K463" i="2"/>
  <c r="L463" i="2" s="1"/>
  <c r="K507" i="2"/>
  <c r="L507" i="2" s="1"/>
  <c r="K639" i="2"/>
  <c r="L639" i="2" s="1"/>
  <c r="K419" i="3"/>
  <c r="L419" i="3" s="1"/>
  <c r="G9" i="2"/>
  <c r="H9" i="2" s="1"/>
  <c r="G17" i="2" s="1"/>
  <c r="T3" i="7" s="1"/>
  <c r="G143" i="2"/>
  <c r="H143" i="2" s="1"/>
  <c r="G627" i="2"/>
  <c r="H627" i="2" s="1"/>
  <c r="G539" i="2"/>
  <c r="H539" i="2" s="1"/>
  <c r="L15" i="4" s="1"/>
  <c r="G143" i="3"/>
  <c r="H143" i="3" s="1"/>
  <c r="L22" i="4" s="1"/>
  <c r="G495" i="3"/>
  <c r="H495" i="3" s="1"/>
  <c r="G42" i="2"/>
  <c r="H42" i="2" s="1"/>
  <c r="G86" i="2"/>
  <c r="H86" i="2" s="1"/>
  <c r="G570" i="2"/>
  <c r="H570" i="2" s="1"/>
  <c r="G174" i="3"/>
  <c r="H174" i="3" s="1"/>
  <c r="G482" i="3"/>
  <c r="H482" i="3" s="1"/>
  <c r="G165" i="2"/>
  <c r="H165" i="2" s="1"/>
  <c r="G7" i="4" s="1"/>
  <c r="G121" i="2"/>
  <c r="H121" i="2" s="1"/>
  <c r="G6" i="4" s="1"/>
  <c r="G649" i="2"/>
  <c r="H649" i="2" s="1"/>
  <c r="G18" i="4" s="1"/>
  <c r="G165" i="3"/>
  <c r="H165" i="3" s="1"/>
  <c r="G385" i="3"/>
  <c r="H385" i="3" s="1"/>
  <c r="G28" i="4" s="1"/>
  <c r="F20" i="4"/>
  <c r="G446" i="2"/>
  <c r="H446" i="2" s="1"/>
  <c r="G402" i="2"/>
  <c r="H402" i="2" s="1"/>
  <c r="G622" i="2"/>
  <c r="H622" i="2" s="1"/>
  <c r="G490" i="3"/>
  <c r="H490" i="3" s="1"/>
  <c r="G578" i="3"/>
  <c r="H578" i="3" s="1"/>
  <c r="K256" i="2"/>
  <c r="L256" i="2" s="1"/>
  <c r="K212" i="2"/>
  <c r="L212" i="2" s="1"/>
  <c r="K36" i="3"/>
  <c r="L36" i="3" s="1"/>
  <c r="K256" i="3"/>
  <c r="L256" i="3" s="1"/>
  <c r="K520" i="3"/>
  <c r="L520" i="3" s="1"/>
  <c r="K23" i="2"/>
  <c r="L23" i="2" s="1"/>
  <c r="K551" i="2"/>
  <c r="L551" i="2" s="1"/>
  <c r="K595" i="2"/>
  <c r="L595" i="2" s="1"/>
  <c r="K111" i="3"/>
  <c r="L111" i="3" s="1"/>
  <c r="K463" i="3"/>
  <c r="L463" i="3" s="1"/>
  <c r="G231" i="2"/>
  <c r="H231" i="2" s="1"/>
  <c r="G55" i="2"/>
  <c r="H55" i="2" s="1"/>
  <c r="L4" i="4" s="1"/>
  <c r="G99" i="3"/>
  <c r="H99" i="3" s="1"/>
  <c r="L21" i="4" s="1"/>
  <c r="G231" i="3"/>
  <c r="H231" i="3" s="1"/>
  <c r="L24" i="4" s="1"/>
  <c r="G583" i="3"/>
  <c r="H583" i="3" s="1"/>
  <c r="L32" i="4" s="1"/>
  <c r="G262" i="2"/>
  <c r="H262" i="2" s="1"/>
  <c r="G130" i="2"/>
  <c r="H130" i="2" s="1"/>
  <c r="G42" i="3"/>
  <c r="H42" i="3" s="1"/>
  <c r="G262" i="3"/>
  <c r="H262" i="3" s="1"/>
  <c r="G526" i="3"/>
  <c r="H526" i="3" s="1"/>
  <c r="G253" i="2"/>
  <c r="H253" i="2" s="1"/>
  <c r="G209" i="2"/>
  <c r="H209" i="2" s="1"/>
  <c r="G121" i="3"/>
  <c r="H121" i="3" s="1"/>
  <c r="G253" i="3"/>
  <c r="H253" i="3" s="1"/>
  <c r="G517" i="3"/>
  <c r="H517" i="3" s="1"/>
  <c r="D19" i="4"/>
  <c r="B3" i="5" s="1"/>
  <c r="H364" i="2"/>
  <c r="G534" i="2"/>
  <c r="H534" i="2" s="1"/>
  <c r="G490" i="2"/>
  <c r="H490" i="2" s="1"/>
  <c r="G50" i="3"/>
  <c r="H50" i="3" s="1"/>
  <c r="G314" i="3"/>
  <c r="H314" i="3" s="1"/>
  <c r="G666" i="3"/>
  <c r="H666" i="3" s="1"/>
  <c r="K344" i="2"/>
  <c r="L344" i="2" s="1"/>
  <c r="K300" i="2"/>
  <c r="L300" i="2" s="1"/>
  <c r="K124" i="3"/>
  <c r="L124" i="3" s="1"/>
  <c r="K344" i="3"/>
  <c r="L344" i="3" s="1"/>
  <c r="K608" i="3"/>
  <c r="L608" i="3" s="1"/>
  <c r="K67" i="2"/>
  <c r="L67" i="2" s="1"/>
  <c r="K155" i="2"/>
  <c r="L155" i="2" s="1"/>
  <c r="K23" i="3"/>
  <c r="L23" i="3" s="1"/>
  <c r="K199" i="3"/>
  <c r="L199" i="3" s="1"/>
  <c r="K551" i="3"/>
  <c r="L551" i="3" s="1"/>
  <c r="G319" i="2"/>
  <c r="H319" i="2" s="1"/>
  <c r="L10" i="4" s="1"/>
  <c r="G187" i="2"/>
  <c r="H187" i="2" s="1"/>
  <c r="G187" i="3"/>
  <c r="H187" i="3" s="1"/>
  <c r="L23" i="4" s="1"/>
  <c r="G319" i="3"/>
  <c r="H319" i="3" s="1"/>
  <c r="G539" i="3"/>
  <c r="H539" i="3" s="1"/>
  <c r="G350" i="2"/>
  <c r="H350" i="2" s="1"/>
  <c r="G218" i="2"/>
  <c r="H218" i="2" s="1"/>
  <c r="G130" i="3"/>
  <c r="H130" i="3" s="1"/>
  <c r="G350" i="3"/>
  <c r="H350" i="3" s="1"/>
  <c r="G614" i="3"/>
  <c r="H614" i="3" s="1"/>
  <c r="G341" i="2"/>
  <c r="H341" i="2" s="1"/>
  <c r="G297" i="2"/>
  <c r="H297" i="2" s="1"/>
  <c r="G209" i="3"/>
  <c r="H209" i="3" s="1"/>
  <c r="G24" i="4" s="1"/>
  <c r="G341" i="3"/>
  <c r="H341" i="3" s="1"/>
  <c r="G605" i="3"/>
  <c r="H605" i="3" s="1"/>
  <c r="D411" i="3"/>
  <c r="G50" i="2"/>
  <c r="H50" i="2" s="1"/>
  <c r="H408" i="3"/>
  <c r="L28" i="4" s="1"/>
  <c r="G138" i="2"/>
  <c r="H138" i="2" s="1"/>
  <c r="G666" i="2"/>
  <c r="H666" i="2" s="1"/>
  <c r="G182" i="3"/>
  <c r="H182" i="3" s="1"/>
  <c r="G446" i="3"/>
  <c r="H446" i="3" s="1"/>
  <c r="L364" i="2"/>
  <c r="K520" i="2"/>
  <c r="L520" i="2" s="1"/>
  <c r="K476" i="2"/>
  <c r="L476" i="2" s="1"/>
  <c r="K608" i="2"/>
  <c r="L608" i="2" s="1"/>
  <c r="K476" i="3"/>
  <c r="L476" i="3" s="1"/>
  <c r="K652" i="3"/>
  <c r="L652" i="3" s="1"/>
  <c r="K287" i="2"/>
  <c r="L287" i="2" s="1"/>
  <c r="K331" i="2"/>
  <c r="L331" i="2" s="1"/>
  <c r="K155" i="3"/>
  <c r="L155" i="3" s="1"/>
  <c r="K375" i="3"/>
  <c r="L375" i="3" s="1"/>
  <c r="K595" i="3"/>
  <c r="L595" i="3" s="1"/>
  <c r="G495" i="2"/>
  <c r="H495" i="2" s="1"/>
  <c r="L14" i="4" s="1"/>
  <c r="G363" i="2"/>
  <c r="H363" i="2" s="1"/>
  <c r="G671" i="2"/>
  <c r="H671" i="2" s="1"/>
  <c r="G451" i="3"/>
  <c r="H451" i="3" s="1"/>
  <c r="L29" i="4" s="1"/>
  <c r="G671" i="3"/>
  <c r="H671" i="3" s="1"/>
  <c r="G526" i="2"/>
  <c r="H526" i="2" s="1"/>
  <c r="G394" i="2"/>
  <c r="H394" i="2" s="1"/>
  <c r="G614" i="2"/>
  <c r="H614" i="2" s="1"/>
  <c r="G306" i="3"/>
  <c r="H306" i="3" s="1"/>
  <c r="G658" i="3"/>
  <c r="H658" i="3" s="1"/>
  <c r="G517" i="2"/>
  <c r="H517" i="2" s="1"/>
  <c r="G473" i="2"/>
  <c r="H473" i="2" s="1"/>
  <c r="G33" i="3"/>
  <c r="H33" i="3" s="1"/>
  <c r="G473" i="3"/>
  <c r="H473" i="3" s="1"/>
  <c r="G649" i="3"/>
  <c r="H649" i="3" s="1"/>
  <c r="K47" i="1"/>
  <c r="H409" i="2"/>
  <c r="L12" i="4" s="1"/>
  <c r="G270" i="2"/>
  <c r="H270" i="2" s="1"/>
  <c r="G226" i="2"/>
  <c r="H226" i="2" s="1"/>
  <c r="G138" i="3"/>
  <c r="H138" i="3" s="1"/>
  <c r="G270" i="3"/>
  <c r="H270" i="3" s="1"/>
  <c r="L409" i="2"/>
  <c r="L407" i="3"/>
  <c r="K36" i="2"/>
  <c r="L36" i="2" s="1"/>
  <c r="K80" i="2"/>
  <c r="L80" i="2" s="1"/>
  <c r="K564" i="2"/>
  <c r="L564" i="2" s="1"/>
  <c r="K80" i="3"/>
  <c r="L80" i="3" s="1"/>
  <c r="K375" i="2"/>
  <c r="L375" i="2" s="1"/>
  <c r="K419" i="2"/>
  <c r="L419" i="2" s="1"/>
  <c r="K243" i="3"/>
  <c r="L243" i="3" s="1"/>
  <c r="K331" i="3"/>
  <c r="L331" i="3" s="1"/>
  <c r="G99" i="2"/>
  <c r="H99" i="2" s="1"/>
  <c r="L5" i="4" s="1"/>
  <c r="G583" i="2"/>
  <c r="H583" i="2" s="1"/>
  <c r="L16" i="4" s="1"/>
  <c r="G451" i="2"/>
  <c r="H451" i="2" s="1"/>
  <c r="L13" i="4" s="1"/>
  <c r="G55" i="3"/>
  <c r="H55" i="3" s="1"/>
  <c r="L20" i="4" s="1"/>
  <c r="G174" i="2"/>
  <c r="H174" i="2" s="1"/>
  <c r="G658" i="2"/>
  <c r="H658" i="2" s="1"/>
  <c r="G482" i="2"/>
  <c r="H482" i="2" s="1"/>
  <c r="G86" i="3"/>
  <c r="H86" i="3" s="1"/>
  <c r="G33" i="2"/>
  <c r="H33" i="2" s="1"/>
  <c r="G77" i="2"/>
  <c r="H77" i="2" s="1"/>
  <c r="G561" i="2"/>
  <c r="H561" i="2" s="1"/>
  <c r="G77" i="3"/>
  <c r="H77" i="3" s="1"/>
  <c r="H673" i="2"/>
  <c r="H188" i="2"/>
  <c r="E29" i="4"/>
  <c r="G665" i="3"/>
  <c r="H665" i="3" s="1"/>
  <c r="G577" i="3"/>
  <c r="H577" i="3" s="1"/>
  <c r="G621" i="3"/>
  <c r="H621" i="3" s="1"/>
  <c r="G533" i="3"/>
  <c r="H533" i="3" s="1"/>
  <c r="K31" i="4" s="1"/>
  <c r="G445" i="3"/>
  <c r="H445" i="3" s="1"/>
  <c r="G401" i="3"/>
  <c r="H401" i="3" s="1"/>
  <c r="K28" i="4" s="1"/>
  <c r="G313" i="3"/>
  <c r="H313" i="3" s="1"/>
  <c r="G489" i="3"/>
  <c r="H489" i="3" s="1"/>
  <c r="K30" i="4" s="1"/>
  <c r="G357" i="3"/>
  <c r="H357" i="3" s="1"/>
  <c r="G269" i="3"/>
  <c r="H269" i="3" s="1"/>
  <c r="G181" i="3"/>
  <c r="H181" i="3" s="1"/>
  <c r="G93" i="3"/>
  <c r="H93" i="3" s="1"/>
  <c r="K21" i="4" s="1"/>
  <c r="G49" i="3"/>
  <c r="H49" i="3" s="1"/>
  <c r="G621" i="2"/>
  <c r="H621" i="2" s="1"/>
  <c r="G225" i="3"/>
  <c r="H225" i="3" s="1"/>
  <c r="G137" i="3"/>
  <c r="H137" i="3" s="1"/>
  <c r="G665" i="2"/>
  <c r="H665" i="2" s="1"/>
  <c r="G577" i="2"/>
  <c r="H577" i="2" s="1"/>
  <c r="K16" i="4" s="1"/>
  <c r="G489" i="2"/>
  <c r="H489" i="2" s="1"/>
  <c r="K14" i="4" s="1"/>
  <c r="G401" i="2"/>
  <c r="H401" i="2" s="1"/>
  <c r="G313" i="2"/>
  <c r="H313" i="2" s="1"/>
  <c r="G225" i="2"/>
  <c r="H225" i="2" s="1"/>
  <c r="G137" i="2"/>
  <c r="H137" i="2" s="1"/>
  <c r="G93" i="2"/>
  <c r="H93" i="2" s="1"/>
  <c r="K5" i="4" s="1"/>
  <c r="G533" i="2"/>
  <c r="H533" i="2" s="1"/>
  <c r="G445" i="2"/>
  <c r="H445" i="2" s="1"/>
  <c r="G357" i="2"/>
  <c r="H357" i="2" s="1"/>
  <c r="G269" i="2"/>
  <c r="H269" i="2" s="1"/>
  <c r="G181" i="2"/>
  <c r="H181" i="2" s="1"/>
  <c r="K7" i="4" s="1"/>
  <c r="G49" i="2"/>
  <c r="H49" i="2" s="1"/>
  <c r="K4" i="4" s="1"/>
  <c r="K659" i="3"/>
  <c r="L659" i="3" s="1"/>
  <c r="K571" i="3"/>
  <c r="L571" i="3" s="1"/>
  <c r="K615" i="3"/>
  <c r="L615" i="3" s="1"/>
  <c r="K527" i="3"/>
  <c r="L527" i="3" s="1"/>
  <c r="K395" i="3"/>
  <c r="L395" i="3" s="1"/>
  <c r="K307" i="3"/>
  <c r="L307" i="3" s="1"/>
  <c r="K483" i="3"/>
  <c r="L483" i="3" s="1"/>
  <c r="K439" i="3"/>
  <c r="L439" i="3" s="1"/>
  <c r="K351" i="3"/>
  <c r="L351" i="3" s="1"/>
  <c r="K263" i="3"/>
  <c r="L263" i="3" s="1"/>
  <c r="K175" i="3"/>
  <c r="L175" i="3" s="1"/>
  <c r="K87" i="3"/>
  <c r="L87" i="3" s="1"/>
  <c r="K615" i="2"/>
  <c r="L615" i="2" s="1"/>
  <c r="K219" i="3"/>
  <c r="L219" i="3" s="1"/>
  <c r="K131" i="3"/>
  <c r="L131" i="3" s="1"/>
  <c r="K43" i="3"/>
  <c r="L43" i="3" s="1"/>
  <c r="K659" i="2"/>
  <c r="L659" i="2" s="1"/>
  <c r="K571" i="2"/>
  <c r="L571" i="2" s="1"/>
  <c r="K483" i="2"/>
  <c r="L483" i="2" s="1"/>
  <c r="K395" i="2"/>
  <c r="L395" i="2" s="1"/>
  <c r="K307" i="2"/>
  <c r="L307" i="2" s="1"/>
  <c r="K219" i="2"/>
  <c r="L219" i="2" s="1"/>
  <c r="K131" i="2"/>
  <c r="L131" i="2" s="1"/>
  <c r="K87" i="2"/>
  <c r="L87" i="2" s="1"/>
  <c r="K527" i="2"/>
  <c r="L527" i="2" s="1"/>
  <c r="K439" i="2"/>
  <c r="L439" i="2" s="1"/>
  <c r="K351" i="2"/>
  <c r="L351" i="2" s="1"/>
  <c r="K263" i="2"/>
  <c r="L263" i="2" s="1"/>
  <c r="K175" i="2"/>
  <c r="L175" i="2" s="1"/>
  <c r="K43" i="2"/>
  <c r="L43" i="2" s="1"/>
  <c r="G660" i="3"/>
  <c r="H660" i="3" s="1"/>
  <c r="G572" i="3"/>
  <c r="H572" i="3" s="1"/>
  <c r="G616" i="3"/>
  <c r="H616" i="3" s="1"/>
  <c r="G528" i="3"/>
  <c r="H528" i="3" s="1"/>
  <c r="G484" i="3"/>
  <c r="H484" i="3" s="1"/>
  <c r="G396" i="3"/>
  <c r="H396" i="3" s="1"/>
  <c r="G308" i="3"/>
  <c r="H308" i="3" s="1"/>
  <c r="G440" i="3"/>
  <c r="H440" i="3" s="1"/>
  <c r="G352" i="3"/>
  <c r="H352" i="3" s="1"/>
  <c r="G264" i="3"/>
  <c r="H264" i="3" s="1"/>
  <c r="G176" i="3"/>
  <c r="H176" i="3" s="1"/>
  <c r="G88" i="3"/>
  <c r="H88" i="3" s="1"/>
  <c r="G616" i="2"/>
  <c r="H616" i="2" s="1"/>
  <c r="G220" i="3"/>
  <c r="H220" i="3" s="1"/>
  <c r="G132" i="3"/>
  <c r="H132" i="3" s="1"/>
  <c r="G44" i="3"/>
  <c r="H44" i="3" s="1"/>
  <c r="G572" i="2"/>
  <c r="H572" i="2" s="1"/>
  <c r="G484" i="2"/>
  <c r="H484" i="2" s="1"/>
  <c r="G396" i="2"/>
  <c r="H396" i="2" s="1"/>
  <c r="G308" i="2"/>
  <c r="H308" i="2" s="1"/>
  <c r="G220" i="2"/>
  <c r="H220" i="2" s="1"/>
  <c r="G132" i="2"/>
  <c r="H132" i="2" s="1"/>
  <c r="G88" i="2"/>
  <c r="H88" i="2" s="1"/>
  <c r="G660" i="2"/>
  <c r="H660" i="2" s="1"/>
  <c r="G528" i="2"/>
  <c r="H528" i="2" s="1"/>
  <c r="G440" i="2"/>
  <c r="H440" i="2" s="1"/>
  <c r="G352" i="2"/>
  <c r="H352" i="2" s="1"/>
  <c r="G264" i="2"/>
  <c r="H264" i="2" s="1"/>
  <c r="G44" i="2"/>
  <c r="H44" i="2" s="1"/>
  <c r="G176" i="2"/>
  <c r="H176" i="2" s="1"/>
  <c r="E20" i="4"/>
  <c r="E21" i="4"/>
  <c r="E22" i="4"/>
  <c r="E23" i="4"/>
  <c r="G23" i="4"/>
  <c r="G26" i="4"/>
  <c r="G29" i="4"/>
  <c r="G30" i="4"/>
  <c r="D26" i="7"/>
  <c r="F22" i="4"/>
  <c r="C23" i="4"/>
  <c r="F24" i="4"/>
  <c r="C25" i="4"/>
  <c r="L25" i="4"/>
  <c r="F26" i="4"/>
  <c r="C27" i="4"/>
  <c r="L27" i="4"/>
  <c r="F28" i="4"/>
  <c r="C29" i="4"/>
  <c r="C31" i="4"/>
  <c r="L31" i="4"/>
  <c r="F32" i="4"/>
  <c r="D21" i="7"/>
  <c r="D27" i="7"/>
  <c r="C6" i="4"/>
  <c r="L6" i="4"/>
  <c r="C8" i="4"/>
  <c r="L8" i="4"/>
  <c r="C10" i="4"/>
  <c r="F11" i="4"/>
  <c r="C12" i="4"/>
  <c r="G8" i="4"/>
  <c r="C14" i="4"/>
  <c r="C16" i="4"/>
  <c r="C18" i="4"/>
  <c r="G13" i="4"/>
  <c r="G17" i="4"/>
  <c r="D7" i="7"/>
  <c r="D14" i="7"/>
  <c r="D6" i="7"/>
  <c r="D18" i="7"/>
  <c r="L673" i="2"/>
  <c r="L188" i="2"/>
  <c r="K663" i="3"/>
  <c r="L663" i="3" s="1"/>
  <c r="K575" i="3"/>
  <c r="L575" i="3" s="1"/>
  <c r="K619" i="3"/>
  <c r="L619" i="3" s="1"/>
  <c r="K531" i="3"/>
  <c r="L531" i="3" s="1"/>
  <c r="K443" i="3"/>
  <c r="L443" i="3" s="1"/>
  <c r="K487" i="3"/>
  <c r="L487" i="3" s="1"/>
  <c r="K399" i="3"/>
  <c r="L399" i="3" s="1"/>
  <c r="K311" i="3"/>
  <c r="L311" i="3" s="1"/>
  <c r="K355" i="3"/>
  <c r="L355" i="3" s="1"/>
  <c r="K267" i="3"/>
  <c r="L267" i="3" s="1"/>
  <c r="K179" i="3"/>
  <c r="L179" i="3" s="1"/>
  <c r="K91" i="3"/>
  <c r="L91" i="3" s="1"/>
  <c r="K47" i="3"/>
  <c r="L47" i="3" s="1"/>
  <c r="K619" i="2"/>
  <c r="L619" i="2" s="1"/>
  <c r="K223" i="3"/>
  <c r="L223" i="3" s="1"/>
  <c r="K135" i="3"/>
  <c r="L135" i="3" s="1"/>
  <c r="K663" i="2"/>
  <c r="L663" i="2" s="1"/>
  <c r="K575" i="2"/>
  <c r="L575" i="2" s="1"/>
  <c r="K487" i="2"/>
  <c r="L487" i="2" s="1"/>
  <c r="K399" i="2"/>
  <c r="L399" i="2" s="1"/>
  <c r="K311" i="2"/>
  <c r="L311" i="2" s="1"/>
  <c r="K223" i="2"/>
  <c r="L223" i="2" s="1"/>
  <c r="K135" i="2"/>
  <c r="L135" i="2" s="1"/>
  <c r="K91" i="2"/>
  <c r="L91" i="2" s="1"/>
  <c r="K531" i="2"/>
  <c r="L531" i="2" s="1"/>
  <c r="K443" i="2"/>
  <c r="L443" i="2" s="1"/>
  <c r="K355" i="2"/>
  <c r="L355" i="2" s="1"/>
  <c r="K267" i="2"/>
  <c r="L267" i="2" s="1"/>
  <c r="K179" i="2"/>
  <c r="L179" i="2" s="1"/>
  <c r="K47" i="2"/>
  <c r="L47" i="2" s="1"/>
  <c r="G652" i="3"/>
  <c r="H652" i="3" s="1"/>
  <c r="G564" i="3"/>
  <c r="H564" i="3" s="1"/>
  <c r="H32" i="4" s="1"/>
  <c r="G608" i="3"/>
  <c r="H608" i="3" s="1"/>
  <c r="G520" i="3"/>
  <c r="H520" i="3" s="1"/>
  <c r="H31" i="4" s="1"/>
  <c r="G476" i="3"/>
  <c r="H476" i="3" s="1"/>
  <c r="H30" i="4" s="1"/>
  <c r="G388" i="3"/>
  <c r="H388" i="3" s="1"/>
  <c r="H28" i="4" s="1"/>
  <c r="G300" i="3"/>
  <c r="H300" i="3" s="1"/>
  <c r="H26" i="4" s="1"/>
  <c r="G432" i="3"/>
  <c r="H432" i="3" s="1"/>
  <c r="H29" i="4" s="1"/>
  <c r="G256" i="3"/>
  <c r="H256" i="3" s="1"/>
  <c r="H25" i="4" s="1"/>
  <c r="G168" i="3"/>
  <c r="H168" i="3" s="1"/>
  <c r="H23" i="4" s="1"/>
  <c r="G80" i="3"/>
  <c r="H80" i="3" s="1"/>
  <c r="H21" i="4" s="1"/>
  <c r="G608" i="2"/>
  <c r="H608" i="2" s="1"/>
  <c r="H17" i="4" s="1"/>
  <c r="G344" i="3"/>
  <c r="H344" i="3" s="1"/>
  <c r="H27" i="4" s="1"/>
  <c r="G212" i="3"/>
  <c r="H212" i="3" s="1"/>
  <c r="H24" i="4" s="1"/>
  <c r="G124" i="3"/>
  <c r="H124" i="3" s="1"/>
  <c r="H22" i="4" s="1"/>
  <c r="G36" i="3"/>
  <c r="H36" i="3" s="1"/>
  <c r="H20" i="4" s="1"/>
  <c r="G564" i="2"/>
  <c r="H564" i="2" s="1"/>
  <c r="H16" i="4" s="1"/>
  <c r="G476" i="2"/>
  <c r="H476" i="2" s="1"/>
  <c r="H14" i="4" s="1"/>
  <c r="G388" i="2"/>
  <c r="H388" i="2" s="1"/>
  <c r="H12" i="4" s="1"/>
  <c r="G300" i="2"/>
  <c r="H300" i="2" s="1"/>
  <c r="G212" i="2"/>
  <c r="H212" i="2" s="1"/>
  <c r="H8" i="4" s="1"/>
  <c r="G124" i="2"/>
  <c r="H124" i="2" s="1"/>
  <c r="G80" i="2"/>
  <c r="H80" i="2" s="1"/>
  <c r="H5" i="4" s="1"/>
  <c r="G652" i="2"/>
  <c r="H652" i="2" s="1"/>
  <c r="H18" i="4" s="1"/>
  <c r="G520" i="2"/>
  <c r="H520" i="2" s="1"/>
  <c r="G432" i="2"/>
  <c r="H432" i="2" s="1"/>
  <c r="H13" i="4" s="1"/>
  <c r="G344" i="2"/>
  <c r="H344" i="2" s="1"/>
  <c r="H11" i="4" s="1"/>
  <c r="G256" i="2"/>
  <c r="H256" i="2" s="1"/>
  <c r="H9" i="4" s="1"/>
  <c r="G36" i="2"/>
  <c r="H36" i="2" s="1"/>
  <c r="H4" i="4" s="1"/>
  <c r="G168" i="2"/>
  <c r="H168" i="2" s="1"/>
  <c r="H7" i="4" s="1"/>
  <c r="K165" i="1"/>
  <c r="K162" i="1" s="1"/>
  <c r="I20" i="4"/>
  <c r="I21" i="4"/>
  <c r="I22" i="4"/>
  <c r="I23" i="4"/>
  <c r="E24" i="4"/>
  <c r="I24" i="4"/>
  <c r="E25" i="4"/>
  <c r="E26" i="4"/>
  <c r="I26" i="4"/>
  <c r="E27" i="4"/>
  <c r="I27" i="4"/>
  <c r="E28" i="4"/>
  <c r="I28" i="4"/>
  <c r="I29" i="4"/>
  <c r="E30" i="4"/>
  <c r="I30" i="4"/>
  <c r="E31" i="4"/>
  <c r="I31" i="4"/>
  <c r="E32" i="4"/>
  <c r="I32" i="4"/>
  <c r="F21" i="4"/>
  <c r="C22" i="4"/>
  <c r="F23" i="4"/>
  <c r="C24" i="4"/>
  <c r="F25" i="4"/>
  <c r="C26" i="4"/>
  <c r="L26" i="4"/>
  <c r="F27" i="4"/>
  <c r="C28" i="4"/>
  <c r="F29" i="4"/>
  <c r="C30" i="4"/>
  <c r="L30" i="4"/>
  <c r="F31" i="4"/>
  <c r="C32" i="4"/>
  <c r="D22" i="7"/>
  <c r="D28" i="7"/>
  <c r="D31" i="7"/>
  <c r="D23" i="7"/>
  <c r="D24" i="7"/>
  <c r="D25" i="7"/>
  <c r="D29" i="7"/>
  <c r="F4" i="4"/>
  <c r="F6" i="4"/>
  <c r="C7" i="4"/>
  <c r="F8" i="4"/>
  <c r="C9" i="4"/>
  <c r="L9" i="4"/>
  <c r="F10" i="4"/>
  <c r="C11" i="4"/>
  <c r="F12" i="4"/>
  <c r="F13" i="4"/>
  <c r="F14" i="4"/>
  <c r="F15" i="4"/>
  <c r="F16" i="4"/>
  <c r="F17" i="4"/>
  <c r="F18" i="4"/>
  <c r="E4" i="4"/>
  <c r="I4" i="4"/>
  <c r="E5" i="4"/>
  <c r="E6" i="4"/>
  <c r="I6" i="4"/>
  <c r="E7" i="4"/>
  <c r="I7" i="4"/>
  <c r="E8" i="4"/>
  <c r="I8" i="4"/>
  <c r="E9" i="4"/>
  <c r="I9" i="4"/>
  <c r="E10" i="4"/>
  <c r="I10" i="4"/>
  <c r="E11" i="4"/>
  <c r="I11" i="4"/>
  <c r="E12" i="4"/>
  <c r="I12" i="4"/>
  <c r="C13" i="4"/>
  <c r="C15" i="4"/>
  <c r="C17" i="4"/>
  <c r="L17" i="4"/>
  <c r="E13" i="4"/>
  <c r="I13" i="4"/>
  <c r="E14" i="4"/>
  <c r="I14" i="4"/>
  <c r="E15" i="4"/>
  <c r="E16" i="4"/>
  <c r="I16" i="4"/>
  <c r="E17" i="4"/>
  <c r="I17" i="4"/>
  <c r="E18" i="4"/>
  <c r="C3" i="7"/>
  <c r="D12" i="7"/>
  <c r="D13" i="7"/>
  <c r="D8" i="7"/>
  <c r="D9" i="7"/>
  <c r="D10" i="7"/>
  <c r="D11" i="7"/>
  <c r="D15" i="7"/>
  <c r="D16" i="7"/>
  <c r="D17" i="7"/>
  <c r="K142" i="1"/>
  <c r="K139" i="1" s="1"/>
  <c r="G659" i="3"/>
  <c r="H659" i="3" s="1"/>
  <c r="G571" i="3"/>
  <c r="H571" i="3" s="1"/>
  <c r="G615" i="3"/>
  <c r="H615" i="3" s="1"/>
  <c r="G527" i="3"/>
  <c r="H527" i="3" s="1"/>
  <c r="G483" i="3"/>
  <c r="H483" i="3" s="1"/>
  <c r="G395" i="3"/>
  <c r="H395" i="3" s="1"/>
  <c r="G307" i="3"/>
  <c r="H307" i="3" s="1"/>
  <c r="G439" i="3"/>
  <c r="H439" i="3" s="1"/>
  <c r="G351" i="3"/>
  <c r="H351" i="3" s="1"/>
  <c r="G263" i="3"/>
  <c r="H263" i="3" s="1"/>
  <c r="G175" i="3"/>
  <c r="H175" i="3" s="1"/>
  <c r="G87" i="3"/>
  <c r="H87" i="3" s="1"/>
  <c r="G615" i="2"/>
  <c r="H615" i="2" s="1"/>
  <c r="G219" i="3"/>
  <c r="H219" i="3" s="1"/>
  <c r="G131" i="3"/>
  <c r="H131" i="3" s="1"/>
  <c r="G43" i="3"/>
  <c r="H43" i="3" s="1"/>
  <c r="G571" i="2"/>
  <c r="H571" i="2" s="1"/>
  <c r="G483" i="2"/>
  <c r="H483" i="2" s="1"/>
  <c r="G395" i="2"/>
  <c r="H395" i="2" s="1"/>
  <c r="G307" i="2"/>
  <c r="H307" i="2" s="1"/>
  <c r="G219" i="2"/>
  <c r="H219" i="2" s="1"/>
  <c r="G131" i="2"/>
  <c r="H131" i="2" s="1"/>
  <c r="J6" i="4" s="1"/>
  <c r="G87" i="2"/>
  <c r="H87" i="2" s="1"/>
  <c r="G659" i="2"/>
  <c r="H659" i="2" s="1"/>
  <c r="G527" i="2"/>
  <c r="H527" i="2" s="1"/>
  <c r="G439" i="2"/>
  <c r="H439" i="2" s="1"/>
  <c r="G351" i="2"/>
  <c r="H351" i="2" s="1"/>
  <c r="G263" i="2"/>
  <c r="H263" i="2" s="1"/>
  <c r="J9" i="4" s="1"/>
  <c r="G43" i="2"/>
  <c r="H43" i="2" s="1"/>
  <c r="G175" i="2"/>
  <c r="H175" i="2" s="1"/>
  <c r="K657" i="3"/>
  <c r="L657" i="3" s="1"/>
  <c r="K569" i="3"/>
  <c r="L569" i="3" s="1"/>
  <c r="K613" i="3"/>
  <c r="L613" i="3" s="1"/>
  <c r="K525" i="3"/>
  <c r="L525" i="3" s="1"/>
  <c r="K393" i="3"/>
  <c r="L393" i="3" s="1"/>
  <c r="K305" i="3"/>
  <c r="L305" i="3" s="1"/>
  <c r="K481" i="3"/>
  <c r="L481" i="3" s="1"/>
  <c r="K437" i="3"/>
  <c r="L437" i="3" s="1"/>
  <c r="K349" i="3"/>
  <c r="L349" i="3" s="1"/>
  <c r="K261" i="3"/>
  <c r="L261" i="3" s="1"/>
  <c r="K173" i="3"/>
  <c r="L173" i="3" s="1"/>
  <c r="K85" i="3"/>
  <c r="L85" i="3" s="1"/>
  <c r="K613" i="2"/>
  <c r="L613" i="2" s="1"/>
  <c r="K217" i="3"/>
  <c r="L217" i="3" s="1"/>
  <c r="K129" i="3"/>
  <c r="L129" i="3" s="1"/>
  <c r="K41" i="3"/>
  <c r="L41" i="3" s="1"/>
  <c r="K657" i="2"/>
  <c r="L657" i="2" s="1"/>
  <c r="K569" i="2"/>
  <c r="L569" i="2" s="1"/>
  <c r="K481" i="2"/>
  <c r="L481" i="2" s="1"/>
  <c r="K393" i="2"/>
  <c r="L393" i="2" s="1"/>
  <c r="K305" i="2"/>
  <c r="L305" i="2" s="1"/>
  <c r="K217" i="2"/>
  <c r="L217" i="2" s="1"/>
  <c r="K129" i="2"/>
  <c r="L129" i="2" s="1"/>
  <c r="K85" i="2"/>
  <c r="L85" i="2" s="1"/>
  <c r="K525" i="2"/>
  <c r="L525" i="2" s="1"/>
  <c r="K437" i="2"/>
  <c r="L437" i="2" s="1"/>
  <c r="K349" i="2"/>
  <c r="L349" i="2" s="1"/>
  <c r="K261" i="2"/>
  <c r="L261" i="2" s="1"/>
  <c r="K173" i="2"/>
  <c r="L173" i="2" s="1"/>
  <c r="K41" i="2"/>
  <c r="L41" i="2" s="1"/>
  <c r="G31" i="4" l="1"/>
  <c r="G16" i="4"/>
  <c r="G14" i="4"/>
  <c r="G10" i="4"/>
  <c r="K17" i="4"/>
  <c r="G9" i="4"/>
  <c r="K15" i="4"/>
  <c r="J25" i="4"/>
  <c r="L11" i="4"/>
  <c r="G15" i="4"/>
  <c r="K25" i="4"/>
  <c r="J11" i="4"/>
  <c r="G545" i="3"/>
  <c r="T30" i="7" s="1"/>
  <c r="F30" i="7" s="1"/>
  <c r="K32" i="4"/>
  <c r="L18" i="4"/>
  <c r="L7" i="4"/>
  <c r="G22" i="4"/>
  <c r="K20" i="4"/>
  <c r="G27" i="4"/>
  <c r="G4" i="4"/>
  <c r="G105" i="2"/>
  <c r="T5" i="7" s="1"/>
  <c r="N5" i="7" s="1"/>
  <c r="J23" i="4"/>
  <c r="J30" i="4"/>
  <c r="M30" i="4" s="1"/>
  <c r="J20" i="4"/>
  <c r="K11" i="4"/>
  <c r="G25" i="4"/>
  <c r="M25" i="4" s="1"/>
  <c r="G5" i="4"/>
  <c r="K6" i="4"/>
  <c r="K29" i="4"/>
  <c r="K8" i="4"/>
  <c r="K10" i="4"/>
  <c r="G21" i="4"/>
  <c r="G20" i="4"/>
  <c r="G11" i="4"/>
  <c r="J10" i="4"/>
  <c r="J24" i="4"/>
  <c r="J29" i="4"/>
  <c r="J32" i="4"/>
  <c r="M32" i="4" s="1"/>
  <c r="J13" i="4"/>
  <c r="K22" i="4"/>
  <c r="J18" i="4"/>
  <c r="D3" i="4"/>
  <c r="B2" i="5" s="1"/>
  <c r="G61" i="2"/>
  <c r="T4" i="7" s="1"/>
  <c r="P4" i="7" s="1"/>
  <c r="K18" i="4"/>
  <c r="J14" i="4"/>
  <c r="M14" i="4" s="1"/>
  <c r="J21" i="4"/>
  <c r="J28" i="4"/>
  <c r="M28" i="4" s="1"/>
  <c r="K23" i="4"/>
  <c r="M23" i="4" s="1"/>
  <c r="J15" i="4"/>
  <c r="G413" i="2"/>
  <c r="T12" i="7" s="1"/>
  <c r="H12" i="7" s="1"/>
  <c r="J17" i="4"/>
  <c r="M17" i="4" s="1"/>
  <c r="J26" i="4"/>
  <c r="G677" i="3"/>
  <c r="K9" i="4"/>
  <c r="M9" i="4" s="1"/>
  <c r="J7" i="4"/>
  <c r="K27" i="4"/>
  <c r="G589" i="2"/>
  <c r="T16" i="7" s="1"/>
  <c r="P16" i="7" s="1"/>
  <c r="K12" i="4"/>
  <c r="M19" i="4"/>
  <c r="N19" i="4" s="1"/>
  <c r="K13" i="4"/>
  <c r="K26" i="4"/>
  <c r="J8" i="4"/>
  <c r="J22" i="4"/>
  <c r="G369" i="3"/>
  <c r="T26" i="7" s="1"/>
  <c r="G26" i="7" s="1"/>
  <c r="K641" i="3"/>
  <c r="L641" i="3" s="1"/>
  <c r="K333" i="3"/>
  <c r="L333" i="3" s="1"/>
  <c r="K641" i="2"/>
  <c r="L641" i="2" s="1"/>
  <c r="K421" i="2"/>
  <c r="L421" i="2" s="1"/>
  <c r="K377" i="2"/>
  <c r="L377" i="2" s="1"/>
  <c r="K157" i="3"/>
  <c r="L157" i="3" s="1"/>
  <c r="K597" i="3"/>
  <c r="L597" i="3" s="1"/>
  <c r="K377" i="3"/>
  <c r="L377" i="3" s="1"/>
  <c r="K245" i="3"/>
  <c r="L245" i="3" s="1"/>
  <c r="K333" i="2"/>
  <c r="L333" i="2" s="1"/>
  <c r="K289" i="2"/>
  <c r="L289" i="2" s="1"/>
  <c r="K245" i="2"/>
  <c r="L245" i="2" s="1"/>
  <c r="K553" i="3"/>
  <c r="L553" i="3" s="1"/>
  <c r="K201" i="3"/>
  <c r="L201" i="3" s="1"/>
  <c r="K69" i="3"/>
  <c r="L69" i="3" s="1"/>
  <c r="K157" i="2"/>
  <c r="L157" i="2" s="1"/>
  <c r="K113" i="2"/>
  <c r="L113" i="2" s="1"/>
  <c r="K465" i="3"/>
  <c r="L465" i="3" s="1"/>
  <c r="K113" i="3"/>
  <c r="L113" i="3" s="1"/>
  <c r="K597" i="2"/>
  <c r="L597" i="2" s="1"/>
  <c r="K553" i="2"/>
  <c r="L553" i="2" s="1"/>
  <c r="K69" i="2"/>
  <c r="L69" i="2" s="1"/>
  <c r="K421" i="3"/>
  <c r="L421" i="3" s="1"/>
  <c r="K25" i="3"/>
  <c r="L25" i="3" s="1"/>
  <c r="K509" i="2"/>
  <c r="L509" i="2" s="1"/>
  <c r="K465" i="2"/>
  <c r="L465" i="2" s="1"/>
  <c r="K25" i="2"/>
  <c r="L25" i="2" s="1"/>
  <c r="K509" i="3"/>
  <c r="L509" i="3" s="1"/>
  <c r="K289" i="3"/>
  <c r="L289" i="3" s="1"/>
  <c r="K201" i="2"/>
  <c r="L201" i="2" s="1"/>
  <c r="K24" i="4"/>
  <c r="D3" i="5"/>
  <c r="G193" i="2"/>
  <c r="T7" i="7" s="1"/>
  <c r="J7" i="7" s="1"/>
  <c r="G677" i="2"/>
  <c r="T18" i="7" s="1"/>
  <c r="L18" i="7" s="1"/>
  <c r="G149" i="2"/>
  <c r="T6" i="7" s="1"/>
  <c r="H6" i="7" s="1"/>
  <c r="G325" i="2"/>
  <c r="T10" i="7" s="1"/>
  <c r="J10" i="7" s="1"/>
  <c r="G501" i="2"/>
  <c r="T14" i="7" s="1"/>
  <c r="R14" i="7" s="1"/>
  <c r="G237" i="3"/>
  <c r="T23" i="7" s="1"/>
  <c r="Q23" i="7" s="1"/>
  <c r="G413" i="3"/>
  <c r="T27" i="7" s="1"/>
  <c r="F27" i="7" s="1"/>
  <c r="G589" i="3"/>
  <c r="T31" i="7" s="1"/>
  <c r="F31" i="7" s="1"/>
  <c r="G369" i="2"/>
  <c r="T11" i="7" s="1"/>
  <c r="G11" i="7" s="1"/>
  <c r="G545" i="2"/>
  <c r="T15" i="7" s="1"/>
  <c r="K15" i="7" s="1"/>
  <c r="G633" i="3"/>
  <c r="K660" i="3"/>
  <c r="L660" i="3" s="1"/>
  <c r="K572" i="3"/>
  <c r="L572" i="3" s="1"/>
  <c r="K616" i="3"/>
  <c r="L616" i="3" s="1"/>
  <c r="K528" i="3"/>
  <c r="L528" i="3" s="1"/>
  <c r="K396" i="3"/>
  <c r="L396" i="3" s="1"/>
  <c r="K308" i="3"/>
  <c r="L308" i="3" s="1"/>
  <c r="K484" i="3"/>
  <c r="L484" i="3" s="1"/>
  <c r="K440" i="3"/>
  <c r="L440" i="3" s="1"/>
  <c r="K352" i="3"/>
  <c r="L352" i="3" s="1"/>
  <c r="K264" i="3"/>
  <c r="L264" i="3" s="1"/>
  <c r="K176" i="3"/>
  <c r="L176" i="3" s="1"/>
  <c r="K88" i="3"/>
  <c r="L88" i="3" s="1"/>
  <c r="K616" i="2"/>
  <c r="L616" i="2" s="1"/>
  <c r="K220" i="3"/>
  <c r="L220" i="3" s="1"/>
  <c r="K132" i="3"/>
  <c r="L132" i="3" s="1"/>
  <c r="K44" i="3"/>
  <c r="L44" i="3" s="1"/>
  <c r="K660" i="2"/>
  <c r="L660" i="2" s="1"/>
  <c r="K572" i="2"/>
  <c r="L572" i="2" s="1"/>
  <c r="K484" i="2"/>
  <c r="L484" i="2" s="1"/>
  <c r="K396" i="2"/>
  <c r="L396" i="2" s="1"/>
  <c r="K308" i="2"/>
  <c r="L308" i="2" s="1"/>
  <c r="K220" i="2"/>
  <c r="L220" i="2" s="1"/>
  <c r="K132" i="2"/>
  <c r="L132" i="2" s="1"/>
  <c r="K88" i="2"/>
  <c r="L88" i="2" s="1"/>
  <c r="K528" i="2"/>
  <c r="L528" i="2" s="1"/>
  <c r="K440" i="2"/>
  <c r="L440" i="2" s="1"/>
  <c r="K352" i="2"/>
  <c r="L352" i="2" s="1"/>
  <c r="K264" i="2"/>
  <c r="L264" i="2" s="1"/>
  <c r="K176" i="2"/>
  <c r="L176" i="2" s="1"/>
  <c r="K44" i="2"/>
  <c r="L44" i="2" s="1"/>
  <c r="G2" i="5"/>
  <c r="J12" i="4"/>
  <c r="D2" i="5"/>
  <c r="G501" i="3"/>
  <c r="T29" i="7" s="1"/>
  <c r="G325" i="3"/>
  <c r="T25" i="7" s="1"/>
  <c r="G281" i="3"/>
  <c r="T24" i="7" s="1"/>
  <c r="L24" i="7" s="1"/>
  <c r="G633" i="2"/>
  <c r="T17" i="7" s="1"/>
  <c r="G281" i="2"/>
  <c r="T9" i="7" s="1"/>
  <c r="P9" i="7" s="1"/>
  <c r="J31" i="4"/>
  <c r="M31" i="4" s="1"/>
  <c r="J27" i="4"/>
  <c r="G3" i="5"/>
  <c r="F3" i="5"/>
  <c r="H15" i="4"/>
  <c r="J16" i="4"/>
  <c r="M16" i="4" s="1"/>
  <c r="H10" i="4"/>
  <c r="H6" i="4"/>
  <c r="J5" i="4"/>
  <c r="G457" i="3"/>
  <c r="T28" i="7" s="1"/>
  <c r="G193" i="3"/>
  <c r="T22" i="7" s="1"/>
  <c r="G237" i="2"/>
  <c r="T8" i="7" s="1"/>
  <c r="G8" i="7" s="1"/>
  <c r="C3" i="5"/>
  <c r="J4" i="4"/>
  <c r="H3" i="7"/>
  <c r="F3" i="7"/>
  <c r="G3" i="7"/>
  <c r="E3" i="7"/>
  <c r="C2" i="5"/>
  <c r="G149" i="3"/>
  <c r="T21" i="7" s="1"/>
  <c r="G105" i="3"/>
  <c r="T20" i="7" s="1"/>
  <c r="P20" i="7" s="1"/>
  <c r="G457" i="2"/>
  <c r="T13" i="7" s="1"/>
  <c r="J3" i="5"/>
  <c r="K665" i="3"/>
  <c r="L665" i="3" s="1"/>
  <c r="K577" i="3"/>
  <c r="L577" i="3" s="1"/>
  <c r="K621" i="3"/>
  <c r="L621" i="3" s="1"/>
  <c r="K533" i="3"/>
  <c r="L533" i="3" s="1"/>
  <c r="K445" i="3"/>
  <c r="L445" i="3" s="1"/>
  <c r="K489" i="3"/>
  <c r="L489" i="3" s="1"/>
  <c r="K401" i="3"/>
  <c r="L401" i="3" s="1"/>
  <c r="K313" i="3"/>
  <c r="L313" i="3" s="1"/>
  <c r="K357" i="3"/>
  <c r="L357" i="3" s="1"/>
  <c r="K269" i="3"/>
  <c r="L269" i="3" s="1"/>
  <c r="K181" i="3"/>
  <c r="L181" i="3" s="1"/>
  <c r="K93" i="3"/>
  <c r="L93" i="3" s="1"/>
  <c r="K49" i="3"/>
  <c r="L49" i="3" s="1"/>
  <c r="K621" i="2"/>
  <c r="L621" i="2" s="1"/>
  <c r="K225" i="3"/>
  <c r="L225" i="3" s="1"/>
  <c r="K137" i="3"/>
  <c r="L137" i="3" s="1"/>
  <c r="K665" i="2"/>
  <c r="L665" i="2" s="1"/>
  <c r="K577" i="2"/>
  <c r="L577" i="2" s="1"/>
  <c r="K489" i="2"/>
  <c r="L489" i="2" s="1"/>
  <c r="K401" i="2"/>
  <c r="L401" i="2" s="1"/>
  <c r="K313" i="2"/>
  <c r="L313" i="2" s="1"/>
  <c r="K225" i="2"/>
  <c r="L225" i="2" s="1"/>
  <c r="K137" i="2"/>
  <c r="L137" i="2" s="1"/>
  <c r="K93" i="2"/>
  <c r="L93" i="2" s="1"/>
  <c r="K533" i="2"/>
  <c r="L533" i="2" s="1"/>
  <c r="K445" i="2"/>
  <c r="L445" i="2" s="1"/>
  <c r="K357" i="2"/>
  <c r="L357" i="2" s="1"/>
  <c r="K269" i="2"/>
  <c r="L269" i="2" s="1"/>
  <c r="K181" i="2"/>
  <c r="L181" i="2" s="1"/>
  <c r="K49" i="2"/>
  <c r="L49" i="2" s="1"/>
  <c r="G61" i="3"/>
  <c r="T19" i="7" s="1"/>
  <c r="E30" i="7" l="1"/>
  <c r="M7" i="4"/>
  <c r="N7" i="4" s="1"/>
  <c r="O7" i="4" s="1"/>
  <c r="P7" i="4" s="1"/>
  <c r="M6" i="4"/>
  <c r="N6" i="4" s="1"/>
  <c r="O6" i="4" s="1"/>
  <c r="M8" i="4"/>
  <c r="N8" i="4" s="1"/>
  <c r="O8" i="4" s="1"/>
  <c r="P8" i="4" s="1"/>
  <c r="M24" i="4"/>
  <c r="N24" i="4" s="1"/>
  <c r="O24" i="4" s="1"/>
  <c r="P24" i="4" s="1"/>
  <c r="M11" i="4"/>
  <c r="N11" i="4" s="1"/>
  <c r="O11" i="4" s="1"/>
  <c r="P11" i="4" s="1"/>
  <c r="M3" i="4"/>
  <c r="N3" i="4" s="1"/>
  <c r="M20" i="4"/>
  <c r="N20" i="4" s="1"/>
  <c r="O20" i="4" s="1"/>
  <c r="P20" i="4" s="1"/>
  <c r="J2" i="5"/>
  <c r="M13" i="4"/>
  <c r="N13" i="4" s="1"/>
  <c r="O13" i="4" s="1"/>
  <c r="E2" i="5"/>
  <c r="M5" i="7"/>
  <c r="M5" i="4"/>
  <c r="N5" i="4" s="1"/>
  <c r="O5" i="4" s="1"/>
  <c r="M18" i="4"/>
  <c r="N18" i="4" s="1"/>
  <c r="O18" i="4" s="1"/>
  <c r="M29" i="4"/>
  <c r="N29" i="4" s="1"/>
  <c r="M10" i="4"/>
  <c r="N10" i="4" s="1"/>
  <c r="O10" i="4" s="1"/>
  <c r="E3" i="5"/>
  <c r="G12" i="7"/>
  <c r="F12" i="7"/>
  <c r="M27" i="4"/>
  <c r="N27" i="4" s="1"/>
  <c r="O27" i="4" s="1"/>
  <c r="P27" i="4" s="1"/>
  <c r="M21" i="4"/>
  <c r="N21" i="4" s="1"/>
  <c r="M22" i="4"/>
  <c r="N22" i="4" s="1"/>
  <c r="I2" i="5"/>
  <c r="H26" i="7"/>
  <c r="M26" i="4"/>
  <c r="N26" i="4" s="1"/>
  <c r="M12" i="4"/>
  <c r="N12" i="4" s="1"/>
  <c r="O12" i="4" s="1"/>
  <c r="P12" i="4" s="1"/>
  <c r="I3" i="5"/>
  <c r="M15" i="4"/>
  <c r="N15" i="4" s="1"/>
  <c r="O15" i="4" s="1"/>
  <c r="K61" i="3"/>
  <c r="C19" i="7" s="1"/>
  <c r="K237" i="3"/>
  <c r="C23" i="7" s="1"/>
  <c r="K457" i="3"/>
  <c r="C28" i="7" s="1"/>
  <c r="K61" i="2"/>
  <c r="C4" i="7" s="1"/>
  <c r="K281" i="2"/>
  <c r="C9" i="7" s="1"/>
  <c r="K457" i="2"/>
  <c r="C13" i="7" s="1"/>
  <c r="K105" i="2"/>
  <c r="C5" i="7" s="1"/>
  <c r="K237" i="2"/>
  <c r="C8" i="7" s="1"/>
  <c r="K413" i="2"/>
  <c r="C12" i="7" s="1"/>
  <c r="K589" i="2"/>
  <c r="C16" i="7" s="1"/>
  <c r="K105" i="3"/>
  <c r="C20" i="7" s="1"/>
  <c r="K281" i="3"/>
  <c r="C24" i="7" s="1"/>
  <c r="K325" i="3"/>
  <c r="C25" i="7" s="1"/>
  <c r="K193" i="2"/>
  <c r="C7" i="7" s="1"/>
  <c r="K369" i="2"/>
  <c r="C11" i="7" s="1"/>
  <c r="K545" i="2"/>
  <c r="C15" i="7" s="1"/>
  <c r="K149" i="2"/>
  <c r="C6" i="7" s="1"/>
  <c r="K325" i="2"/>
  <c r="C10" i="7" s="1"/>
  <c r="K501" i="2"/>
  <c r="C14" i="7" s="1"/>
  <c r="K677" i="2"/>
  <c r="C18" i="7" s="1"/>
  <c r="K149" i="3"/>
  <c r="C21" i="7" s="1"/>
  <c r="K633" i="2"/>
  <c r="C17" i="7" s="1"/>
  <c r="K193" i="3"/>
  <c r="C22" i="7" s="1"/>
  <c r="K369" i="3"/>
  <c r="C26" i="7" s="1"/>
  <c r="K501" i="3"/>
  <c r="C29" i="7" s="1"/>
  <c r="K413" i="3"/>
  <c r="C27" i="7" s="1"/>
  <c r="K633" i="3"/>
  <c r="K677" i="3"/>
  <c r="K545" i="3"/>
  <c r="C30" i="7" s="1"/>
  <c r="K589" i="3"/>
  <c r="C31" i="7" s="1"/>
  <c r="K18" i="7"/>
  <c r="J18" i="7"/>
  <c r="M18" i="7"/>
  <c r="P23" i="7"/>
  <c r="H11" i="7"/>
  <c r="G27" i="7"/>
  <c r="S14" i="7"/>
  <c r="S33" i="7" s="1"/>
  <c r="S34" i="7" s="1"/>
  <c r="H2" i="5"/>
  <c r="G6" i="7"/>
  <c r="K7" i="7"/>
  <c r="H7" i="7"/>
  <c r="P14" i="7"/>
  <c r="I7" i="7"/>
  <c r="I10" i="7"/>
  <c r="K10" i="7"/>
  <c r="L10" i="7"/>
  <c r="R23" i="7"/>
  <c r="M10" i="7"/>
  <c r="H3" i="5"/>
  <c r="Q14" i="7"/>
  <c r="M4" i="4"/>
  <c r="F2" i="5"/>
  <c r="N16" i="4"/>
  <c r="O16" i="4" s="1"/>
  <c r="O19" i="4"/>
  <c r="P19" i="4" s="1"/>
  <c r="N23" i="4"/>
  <c r="O23" i="4" s="1"/>
  <c r="N30" i="4"/>
  <c r="N32" i="4"/>
  <c r="O32" i="4" s="1"/>
  <c r="P13" i="7"/>
  <c r="N13" i="7"/>
  <c r="L13" i="7"/>
  <c r="M13" i="7"/>
  <c r="O13" i="7"/>
  <c r="O33" i="7" s="1"/>
  <c r="R21" i="7"/>
  <c r="P21" i="7"/>
  <c r="Q21" i="7"/>
  <c r="E28" i="7"/>
  <c r="F28" i="7"/>
  <c r="N28" i="4"/>
  <c r="O28" i="4" s="1"/>
  <c r="P28" i="4" s="1"/>
  <c r="K17" i="7"/>
  <c r="I17" i="7"/>
  <c r="J17" i="7"/>
  <c r="H17" i="7"/>
  <c r="F25" i="7"/>
  <c r="E25" i="7"/>
  <c r="N14" i="4"/>
  <c r="O14" i="4" s="1"/>
  <c r="P14" i="4" s="1"/>
  <c r="I19" i="7"/>
  <c r="G19" i="7"/>
  <c r="H19" i="7"/>
  <c r="N31" i="4"/>
  <c r="O31" i="4" s="1"/>
  <c r="P31" i="4" s="1"/>
  <c r="N9" i="4"/>
  <c r="O9" i="4" s="1"/>
  <c r="T33" i="7"/>
  <c r="M22" i="7"/>
  <c r="K22" i="7"/>
  <c r="N22" i="7"/>
  <c r="L22" i="7"/>
  <c r="N25" i="4"/>
  <c r="F29" i="7"/>
  <c r="G29" i="7"/>
  <c r="E29" i="7"/>
  <c r="N17" i="4"/>
  <c r="O17" i="4" s="1"/>
  <c r="P17" i="4" s="1"/>
  <c r="J33" i="7" l="1"/>
  <c r="J34" i="7" s="1"/>
  <c r="J35" i="7" s="1"/>
  <c r="J36" i="7" s="1"/>
  <c r="M33" i="4"/>
  <c r="K3" i="5"/>
  <c r="L3" i="5" s="1"/>
  <c r="K2" i="5"/>
  <c r="N4" i="4"/>
  <c r="O4" i="4" s="1"/>
  <c r="P4" i="4" s="1"/>
  <c r="Q33" i="7"/>
  <c r="Q34" i="7" s="1"/>
  <c r="N33" i="7"/>
  <c r="N34" i="7" s="1"/>
  <c r="N35" i="7" s="1"/>
  <c r="N36" i="7" s="1"/>
  <c r="M33" i="7"/>
  <c r="M34" i="7" s="1"/>
  <c r="I33" i="7"/>
  <c r="I34" i="7" s="1"/>
  <c r="I35" i="7" s="1"/>
  <c r="K33" i="7"/>
  <c r="K34" i="7" s="1"/>
  <c r="K35" i="7" s="1"/>
  <c r="R33" i="7"/>
  <c r="R34" i="7" s="1"/>
  <c r="R35" i="7" s="1"/>
  <c r="R36" i="7" s="1"/>
  <c r="H33" i="7"/>
  <c r="H34" i="7" s="1"/>
  <c r="E33" i="7"/>
  <c r="E34" i="7" s="1"/>
  <c r="L33" i="7"/>
  <c r="L34" i="7" s="1"/>
  <c r="F33" i="7"/>
  <c r="F34" i="7" s="1"/>
  <c r="F35" i="7" s="1"/>
  <c r="F36" i="7" s="1"/>
  <c r="P33" i="7"/>
  <c r="P34" i="7" s="1"/>
  <c r="P35" i="7" s="1"/>
  <c r="P36" i="7" s="1"/>
  <c r="P32" i="4"/>
  <c r="G33" i="7"/>
  <c r="G34" i="7" s="1"/>
  <c r="P23" i="4"/>
  <c r="O29" i="4"/>
  <c r="P29" i="4" s="1"/>
  <c r="O3" i="4"/>
  <c r="P13" i="4"/>
  <c r="O25" i="4"/>
  <c r="P25" i="4" s="1"/>
  <c r="T34" i="7"/>
  <c r="P9" i="4"/>
  <c r="P5" i="4"/>
  <c r="S35" i="7"/>
  <c r="S36" i="7" s="1"/>
  <c r="P18" i="4"/>
  <c r="O26" i="4"/>
  <c r="P26" i="4" s="1"/>
  <c r="O22" i="4"/>
  <c r="P22" i="4" s="1"/>
  <c r="P10" i="4"/>
  <c r="P6" i="4"/>
  <c r="P16" i="4"/>
  <c r="P15" i="4"/>
  <c r="O34" i="7"/>
  <c r="O35" i="7" s="1"/>
  <c r="O30" i="4"/>
  <c r="P30" i="4" s="1"/>
  <c r="O21" i="4"/>
  <c r="P21" i="4" s="1"/>
  <c r="K4" i="5" l="1"/>
  <c r="M3" i="5"/>
  <c r="N3" i="5" s="1"/>
  <c r="L2" i="5"/>
  <c r="L4" i="5" s="1"/>
  <c r="N33" i="4"/>
  <c r="L35" i="7"/>
  <c r="L36" i="7" s="1"/>
  <c r="H35" i="7"/>
  <c r="H36" i="7" s="1"/>
  <c r="T35" i="7"/>
  <c r="T36" i="7" s="1"/>
  <c r="O36" i="7"/>
  <c r="I36" i="7"/>
  <c r="K36" i="7"/>
  <c r="Q35" i="7"/>
  <c r="Q36" i="7" s="1"/>
  <c r="M35" i="7"/>
  <c r="M36" i="7" s="1"/>
  <c r="G35" i="7"/>
  <c r="G36" i="7" s="1"/>
  <c r="E35" i="7"/>
  <c r="E36" i="7" s="1"/>
  <c r="O33" i="4"/>
  <c r="P3" i="4"/>
  <c r="P33" i="4" s="1"/>
  <c r="M2" i="5" l="1"/>
  <c r="M4" i="5" l="1"/>
  <c r="N2" i="5"/>
  <c r="N4" i="5" s="1"/>
</calcChain>
</file>

<file path=xl/sharedStrings.xml><?xml version="1.0" encoding="utf-8"?>
<sst xmlns="http://schemas.openxmlformats.org/spreadsheetml/2006/main" count="2126" uniqueCount="401">
  <si>
    <t>Versão 01</t>
  </si>
  <si>
    <t>SERVIÇOS INICIAIS</t>
  </si>
  <si>
    <t>1.1</t>
  </si>
  <si>
    <t>SERVIÇOS INICIAIS e PRELIMINARES</t>
  </si>
  <si>
    <t>Item</t>
  </si>
  <si>
    <t>Cód. CPOS</t>
  </si>
  <si>
    <t xml:space="preserve"> Descrição</t>
  </si>
  <si>
    <t>Un</t>
  </si>
  <si>
    <t>Quant.</t>
  </si>
  <si>
    <t>PUMat</t>
  </si>
  <si>
    <t>PUMObra</t>
  </si>
  <si>
    <t>Pserv</t>
  </si>
  <si>
    <t>Total</t>
  </si>
  <si>
    <t>ProdUnit</t>
  </si>
  <si>
    <t>Prod.</t>
  </si>
  <si>
    <t>1.1.1</t>
  </si>
  <si>
    <t>Placa de obra</t>
  </si>
  <si>
    <t>unid</t>
  </si>
  <si>
    <t>02.08.020</t>
  </si>
  <si>
    <t>Placa de identificação para obra</t>
  </si>
  <si>
    <t>m²</t>
  </si>
  <si>
    <t>1.1.2</t>
  </si>
  <si>
    <t>Parecer técnico - avaliação de demolições em áreas de risco</t>
  </si>
  <si>
    <t>01.02.071</t>
  </si>
  <si>
    <t>Parecer técnico de fundações, contenções e recomendações gerais, para empreendimentos com área construída até 1.000 m²</t>
  </si>
  <si>
    <t>un</t>
  </si>
  <si>
    <t>1.1.3</t>
  </si>
  <si>
    <t>Tapume para fechamento da obra</t>
  </si>
  <si>
    <t>m</t>
  </si>
  <si>
    <t>02.03.110</t>
  </si>
  <si>
    <t>Tapume móvel para fechamento de áreas</t>
  </si>
  <si>
    <t>1.1.4</t>
  </si>
  <si>
    <t>Abertura de trilha</t>
  </si>
  <si>
    <t>02.09.030</t>
  </si>
  <si>
    <t>Limpeza manual do terreno, inclusive troncos até 5 cm de diâmetro, com caminhão à disposição, dentro da obra, até o raio de 1,0 km</t>
  </si>
  <si>
    <t>02.10.060</t>
  </si>
  <si>
    <t>Locação de vias, calçadas, tanques e lagoas</t>
  </si>
  <si>
    <t>1.1.5</t>
  </si>
  <si>
    <t>Manutenção de estradas de acesso as obras</t>
  </si>
  <si>
    <t>54.01.050</t>
  </si>
  <si>
    <t>Compactação do subleito mínimo de 95% do PN</t>
  </si>
  <si>
    <t>m³</t>
  </si>
  <si>
    <t>54.02.030</t>
  </si>
  <si>
    <t>Revestimento primário com pedra britada, compactação mínima de 95% do PN</t>
  </si>
  <si>
    <t>1.1.6</t>
  </si>
  <si>
    <t>Construção provisória de abrigo para funcionarios com sua desmobilização e instalação de banheiro químico</t>
  </si>
  <si>
    <t>02.01.021</t>
  </si>
  <si>
    <t>Construção provisória em madeira - fornecimento e montagem</t>
  </si>
  <si>
    <t>02.01.180</t>
  </si>
  <si>
    <t>Banheiro químico modelo Standard, com manutenção conforme exigências da CETESB</t>
  </si>
  <si>
    <t>unxmês</t>
  </si>
  <si>
    <t>02.01.200</t>
  </si>
  <si>
    <t>Desmobilização de construção provisória</t>
  </si>
  <si>
    <t>1.1.7</t>
  </si>
  <si>
    <t>Transporte Aquaviário</t>
  </si>
  <si>
    <t>mês</t>
  </si>
  <si>
    <t>s/ cod.</t>
  </si>
  <si>
    <t>Locação de embarcação com tripulação para transporte de: pessoal, equipamentos, ferramentas, entre outras coisas.</t>
  </si>
  <si>
    <t>1.1.8</t>
  </si>
  <si>
    <t>Projeto e implementação de controle ambiental da obra</t>
  </si>
  <si>
    <t>01.27.031</t>
  </si>
  <si>
    <t>1.1.9</t>
  </si>
  <si>
    <t>Projeto e implementação de gerenciamento de resíduos sólidos</t>
  </si>
  <si>
    <t>01.27.011</t>
  </si>
  <si>
    <t>Projeto e implementação de gerenciamento integrado de resíduos sólidos e gestão de perdas</t>
  </si>
  <si>
    <t>1.1.10</t>
  </si>
  <si>
    <t>EDIFICAÇÃO</t>
  </si>
  <si>
    <t>2.1</t>
  </si>
  <si>
    <t>DEMOLIÇÃO DE CALÇADAS E/OU CAMINHOS</t>
  </si>
  <si>
    <t>2.1.1</t>
  </si>
  <si>
    <t>Demolição de calçada ou caminhos</t>
  </si>
  <si>
    <t>03.01.040</t>
  </si>
  <si>
    <t>Demolição manual de concreto armado</t>
  </si>
  <si>
    <t>03.04.030</t>
  </si>
  <si>
    <t>Demolição manual de revestimento em ladrilho hidráulico, incluindo a base</t>
  </si>
  <si>
    <t>2.1.2</t>
  </si>
  <si>
    <t>Demolição de via Asfaltada, em paralelepípedo ou intertravados</t>
  </si>
  <si>
    <t>03.07.030</t>
  </si>
  <si>
    <t>Demolição (levantamento) mecanizada de pavimento asfáltico, inclusive fragmentação e acomodação do material</t>
  </si>
  <si>
    <t>04.40.030</t>
  </si>
  <si>
    <t>Retirada manual de guia pré-moldada, inclusive limpeza e empilhamento</t>
  </si>
  <si>
    <t>06.11.020</t>
  </si>
  <si>
    <t>Reaterro manual para simples regularização sem compactação</t>
  </si>
  <si>
    <t>03.01.270</t>
  </si>
  <si>
    <t>Demolição mecanizada de sarjeta ou sarjetão, inclusive fragmentação e acomodação do material</t>
  </si>
  <si>
    <t>2.2</t>
  </si>
  <si>
    <t>DEMOLIÇÃO DE MUROS E CERCAS</t>
  </si>
  <si>
    <t>2.2.1</t>
  </si>
  <si>
    <t>Demolição de muro em alvenaria ou alambrados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</si>
  <si>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</si>
  <si>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</si>
  <si>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</si>
  <si>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</si>
  <si>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2.2.2</t>
  </si>
  <si>
    <t>Demolição de Cercas</t>
  </si>
  <si>
    <t>04.01.100</t>
  </si>
  <si>
    <t>Retirada de cerca</t>
  </si>
  <si>
    <t>03.01.020</t>
  </si>
  <si>
    <t>Demolição manual de concreto simples</t>
  </si>
  <si>
    <t>2.3</t>
  </si>
  <si>
    <t>COBERTURA</t>
  </si>
  <si>
    <t>2.3.1</t>
  </si>
  <si>
    <t>Retirada de Estrutura de madeira sem telhas</t>
  </si>
  <si>
    <t>04.02.050</t>
  </si>
  <si>
    <t>Retirada de estrutura em madeira tesoura - telhas de barro</t>
  </si>
  <si>
    <t>2.3.2</t>
  </si>
  <si>
    <t>Retirada de Telhas de Barro com Estrutura em madeira (tesouras, treliças,...)</t>
  </si>
  <si>
    <t>04.03.020</t>
  </si>
  <si>
    <t>Retirada de telhamento em barro</t>
  </si>
  <si>
    <t>04.03.060</t>
  </si>
  <si>
    <t>Retirada de cumeeira ou espigão em barro</t>
  </si>
  <si>
    <t>2.3.3</t>
  </si>
  <si>
    <t>Retirada de Telhas de amianto Sem Estrutura</t>
  </si>
  <si>
    <t>04.03.040</t>
  </si>
  <si>
    <t>Retirada de telhamento perfil e material qualquer, exceto barro</t>
  </si>
  <si>
    <t>04.03.080</t>
  </si>
  <si>
    <t>Retirada de cumeeira, espigão ou rufo perfil qualquer</t>
  </si>
  <si>
    <t>2.3.4</t>
  </si>
  <si>
    <t>Retirada de Telhas de amianto com Estrutura em madeira (tesouras, treliças,...)</t>
  </si>
  <si>
    <t>04.02.070</t>
  </si>
  <si>
    <t>Retirada de estrutura em madeira tesoura - telhas perfil qualquer</t>
  </si>
  <si>
    <t>2.3.5</t>
  </si>
  <si>
    <t>Retirada de Laje em concreto</t>
  </si>
  <si>
    <t>03.01.060</t>
  </si>
  <si>
    <t>Demolição manual de lajes pré-moldadas, incluindo revestimento</t>
  </si>
  <si>
    <t>04.17.020</t>
  </si>
  <si>
    <t>Remoção de aparelho de iluminação ou projetor fixo em teto, piso ou parede</t>
  </si>
  <si>
    <t>04.18.370</t>
  </si>
  <si>
    <t>Remoção de condutor aparente diâmetro externo até 6,5 mm</t>
  </si>
  <si>
    <t>2.3.6</t>
  </si>
  <si>
    <t>Retirada de Forros qualquer com sistema de fixação</t>
  </si>
  <si>
    <t>03.08.040</t>
  </si>
  <si>
    <t>Demolição manual de forro qualquer, inclusive sistema de fixação/tarugamento</t>
  </si>
  <si>
    <t>2.4</t>
  </si>
  <si>
    <t>PAREDES</t>
  </si>
  <si>
    <t>2.4.1</t>
  </si>
  <si>
    <t>Parede em Alvenaria - usar área construida</t>
  </si>
  <si>
    <t>04.18.340</t>
  </si>
  <si>
    <t>Remoção de condulete</t>
  </si>
  <si>
    <t>04.19.120</t>
  </si>
  <si>
    <t>Remoção de interruptores, tomadas, botão de campainha ou cigarra</t>
  </si>
  <si>
    <t>04.21.160</t>
  </si>
  <si>
    <t>Remoção de quadro de distribuição, chamada ou caixa de passagem</t>
  </si>
  <si>
    <t>2.4.2</t>
  </si>
  <si>
    <t>Parede em Madeirite - Chapas de madeira compensada ou aglomerada - área construída</t>
  </si>
  <si>
    <t>2.4.3</t>
  </si>
  <si>
    <t>Parede em Lambril de madeira - área construída</t>
  </si>
  <si>
    <t>04.05.010</t>
  </si>
  <si>
    <t>Retirada de revestimento em lambris de madeira</t>
  </si>
  <si>
    <t>04.09.140</t>
  </si>
  <si>
    <t>Retirada de poste ou sistema de sustentação para alambrado ou fechamento</t>
  </si>
  <si>
    <t>04.13.060</t>
  </si>
  <si>
    <t>Retirada de isolamento térmico com material em panos</t>
  </si>
  <si>
    <t>2.5</t>
  </si>
  <si>
    <t>PISO E FUNDAÇÃO</t>
  </si>
  <si>
    <t>2.5.1</t>
  </si>
  <si>
    <t>Piso da edificação com fundação</t>
  </si>
  <si>
    <t>03.04.020</t>
  </si>
  <si>
    <t>Demolição manual de revestimento cerâmico, incluindo a base</t>
  </si>
  <si>
    <t>04.30.060</t>
  </si>
  <si>
    <t>Remoção de tubulação hidráulica em geral, incluindo conexões, caixas e ralos</t>
  </si>
  <si>
    <t>2.6</t>
  </si>
  <si>
    <t>ESTRUTURAS DIVERSAS</t>
  </si>
  <si>
    <t>2.6.1</t>
  </si>
  <si>
    <t>Escada em concreto com corrimão</t>
  </si>
  <si>
    <t>03.03.060</t>
  </si>
  <si>
    <t>Demolição manual de revestimento em massa de piso</t>
  </si>
  <si>
    <t>04.09.060</t>
  </si>
  <si>
    <t>Retirada de batente, corrimão ou peças lineares metálicas, chumbados</t>
  </si>
  <si>
    <t>2.6.2</t>
  </si>
  <si>
    <t>Entrada de Energia - medidor</t>
  </si>
  <si>
    <t>04.18.070</t>
  </si>
  <si>
    <t>Remoção de caixa de entrada de energia padrão residencial completa</t>
  </si>
  <si>
    <t>04.17.060</t>
  </si>
  <si>
    <t>Remoção de suporte tipo braquet</t>
  </si>
  <si>
    <t>04.18.410</t>
  </si>
  <si>
    <t>Remoção de cordoalha ou cabo de cobre nu</t>
  </si>
  <si>
    <t>04.21.130</t>
  </si>
  <si>
    <t>Remoção de poste de concreto</t>
  </si>
  <si>
    <t>04.22.100</t>
  </si>
  <si>
    <t>Remoção de tubulação elétrica aparente com diâmetro externo acima de 50 mm</t>
  </si>
  <si>
    <t>04.22.130</t>
  </si>
  <si>
    <t>Remoção de tubulação elétrica embutida com diâmetro externo até 50 mm</t>
  </si>
  <si>
    <t>2.6.3</t>
  </si>
  <si>
    <t>Hidrômetro com abrigo</t>
  </si>
  <si>
    <t>04.11.100</t>
  </si>
  <si>
    <t>Retirada de registro ou válvula aparentes</t>
  </si>
  <si>
    <t>06.02.020</t>
  </si>
  <si>
    <t>Escavação manual em solo de 1ª e 2ª categoria em vala ou cava até 1,50 m</t>
  </si>
  <si>
    <t>06.11.040</t>
  </si>
  <si>
    <t>Reaterro manual apiloado sem controle de compactação</t>
  </si>
  <si>
    <t>2.6.4</t>
  </si>
  <si>
    <t>Aterro de Fossa com retirada de tampa</t>
  </si>
  <si>
    <t>06.14.020</t>
  </si>
  <si>
    <t>Carga manual de solo</t>
  </si>
  <si>
    <t>2.7</t>
  </si>
  <si>
    <t>ACABAMENTOS DIVERSOS e OUTROS</t>
  </si>
  <si>
    <t>2.7.1</t>
  </si>
  <si>
    <t>Remoção de aparelhos sanitarios - por banheiro</t>
  </si>
  <si>
    <t>04.11.020</t>
  </si>
  <si>
    <t>Retirada de aparelho sanitário incluindo acessórios</t>
  </si>
  <si>
    <t>04.11.040</t>
  </si>
  <si>
    <t>Retirada de complemento sanitário chumbado</t>
  </si>
  <si>
    <t>04.11.120</t>
  </si>
  <si>
    <t>Retirada de torneira ou chuveiro</t>
  </si>
  <si>
    <t>04.11.140</t>
  </si>
  <si>
    <t>Retirada de sifão ou metais sanitários diversos</t>
  </si>
  <si>
    <t>04.14.020</t>
  </si>
  <si>
    <t>Retirada de vidro ou espelho com raspagem da massa ou retirada de baguete</t>
  </si>
  <si>
    <t>2.7.2</t>
  </si>
  <si>
    <t>Remoção de aparelhos sanitarios - Cozinha e Área de Serviço</t>
  </si>
  <si>
    <t>04.11.030</t>
  </si>
  <si>
    <t>Retirada de bancada incluindo pertences</t>
  </si>
  <si>
    <t>04.08.080</t>
  </si>
  <si>
    <t>Retirada de elemento em madeira e sistema de fixação tipo quadro, lousa, etc. - mobilia</t>
  </si>
  <si>
    <t>2.7.3</t>
  </si>
  <si>
    <t>Remoção de caixa d'agua</t>
  </si>
  <si>
    <t>04.30.100</t>
  </si>
  <si>
    <t>Remoção de reservatório em fibrocimento até 1000 litros</t>
  </si>
  <si>
    <t>2.7.4</t>
  </si>
  <si>
    <t>Remoção do Sistema de Para raios - área do telhado</t>
  </si>
  <si>
    <t>04.18.200</t>
  </si>
  <si>
    <t>Remoção de captor de para-raios tipo Franklin</t>
  </si>
  <si>
    <t>04.17.140</t>
  </si>
  <si>
    <t>Remoção de base e haste de para-raios</t>
  </si>
  <si>
    <t>04.18.040</t>
  </si>
  <si>
    <t>Remoção de cabo de aço e esticadores de para-raios</t>
  </si>
  <si>
    <t>2.7.5</t>
  </si>
  <si>
    <t>Janelas</t>
  </si>
  <si>
    <t>* não entra no computo pois na alvenaria deveria haver esse desconto</t>
  </si>
  <si>
    <t>04.08.020</t>
  </si>
  <si>
    <t>Retirada de folha de esquadria em madeira</t>
  </si>
  <si>
    <t>04.08.060</t>
  </si>
  <si>
    <t>Retirada de batente com guarnição e peças lineares em madeira, chumbados</t>
  </si>
  <si>
    <t>2.7.6</t>
  </si>
  <si>
    <t>Portas</t>
  </si>
  <si>
    <t>2.7.7</t>
  </si>
  <si>
    <t>Guarda corpo de metal</t>
  </si>
  <si>
    <t>04.09.100</t>
  </si>
  <si>
    <t>Retirada de guarda-corpo ou gradil em geral</t>
  </si>
  <si>
    <t>2.8</t>
  </si>
  <si>
    <t>ENTULHO</t>
  </si>
  <si>
    <t>2.8.1</t>
  </si>
  <si>
    <t>Transporte e espalhamento Manual do entulho a ser reutilizado</t>
  </si>
  <si>
    <t>05.04.060</t>
  </si>
  <si>
    <t>Transporte manual horizontal e/ou vertical de entulho até o local de despejo - ensacado</t>
  </si>
  <si>
    <t>2.8.2</t>
  </si>
  <si>
    <t>Remoção e Transporte Mecanizado do entulho a ser reutilizado</t>
  </si>
  <si>
    <t>05.08.220</t>
  </si>
  <si>
    <t>Carregamento mecanizado de entulho fragmentado, com caminhão à disposição dentro da obra, até o raio de 1,0 km</t>
  </si>
  <si>
    <t>05.08.080</t>
  </si>
  <si>
    <t>Transporte de entulho, para distâncias superiores ao 5° km até o 10° km</t>
  </si>
  <si>
    <t>2.8.3</t>
  </si>
  <si>
    <t>Remoção do entulho com caçamba</t>
  </si>
  <si>
    <t>05.07.050</t>
  </si>
  <si>
    <t>Remoção de entulho de obra com caçamba metálica - material volumoso e misturado por alvenaria, terra, madeira, papel, plástico e metal</t>
  </si>
  <si>
    <t>2.8.4</t>
  </si>
  <si>
    <t>Remoção e Transporte Mecanizado do entulho para bota fora</t>
  </si>
  <si>
    <t>05.08.140</t>
  </si>
  <si>
    <t>Transporte de entulho, para distâncias superiores ao 20° km</t>
  </si>
  <si>
    <t>m³xkm</t>
  </si>
  <si>
    <t>05.09.006</t>
  </si>
  <si>
    <t>Taxa de destinação de residuo sólido em aterro, tipo inerte</t>
  </si>
  <si>
    <t>t</t>
  </si>
  <si>
    <t>2.8.5</t>
  </si>
  <si>
    <t>Remoção de telhas em cimento amianto</t>
  </si>
  <si>
    <t>05.09.008</t>
  </si>
  <si>
    <t>Transporte e taxa de destinação de resíduo sólido em aterro, tipo telhas cimento amianto</t>
  </si>
  <si>
    <t>PESM Itutinga Pilões pt.1</t>
  </si>
  <si>
    <t>CPOS</t>
  </si>
  <si>
    <t>Não imprimir</t>
  </si>
  <si>
    <t>Item edificação</t>
  </si>
  <si>
    <t>Item Composição</t>
  </si>
  <si>
    <t>Descrição</t>
  </si>
  <si>
    <t>Unid</t>
  </si>
  <si>
    <t>Cubicagem</t>
  </si>
  <si>
    <t>Valor Unit.</t>
  </si>
  <si>
    <t>E0</t>
  </si>
  <si>
    <t>IMPLANTAÇÃO GERAL</t>
  </si>
  <si>
    <t>E0.1</t>
  </si>
  <si>
    <t>Custo Total</t>
  </si>
  <si>
    <t>A01</t>
  </si>
  <si>
    <t>EDIFICAÇÃO 1 - Gleba A01</t>
  </si>
  <si>
    <t>A01.1</t>
  </si>
  <si>
    <t>A01.2</t>
  </si>
  <si>
    <t>A01.3</t>
  </si>
  <si>
    <t>A01.4</t>
  </si>
  <si>
    <t>A01.5</t>
  </si>
  <si>
    <t>A01.6</t>
  </si>
  <si>
    <t>A01.7</t>
  </si>
  <si>
    <t>A01.8</t>
  </si>
  <si>
    <t>sim = 1</t>
  </si>
  <si>
    <t>A02</t>
  </si>
  <si>
    <t>EDIFICAÇÃO 2 - Gleba A02</t>
  </si>
  <si>
    <t>A03</t>
  </si>
  <si>
    <t>EDIFICAÇÃO 3 - Gleba A03</t>
  </si>
  <si>
    <t>A4</t>
  </si>
  <si>
    <t>EDIFICAÇÃO 4 - Gleba A04</t>
  </si>
  <si>
    <t>C29</t>
  </si>
  <si>
    <t>EDIFICAÇÃO 5 - Gleba C29</t>
  </si>
  <si>
    <t>D02</t>
  </si>
  <si>
    <t>EDIFICAÇÃO 6 - Gleba D02</t>
  </si>
  <si>
    <t>D03</t>
  </si>
  <si>
    <t>EDIFICAÇÃO 7 - Gleba D03</t>
  </si>
  <si>
    <t>D06</t>
  </si>
  <si>
    <t>EDIFICAÇÃO 8 - Gleba D06</t>
  </si>
  <si>
    <t>D07</t>
  </si>
  <si>
    <t>EDIFICAÇÃO 9 - Gleba D07</t>
  </si>
  <si>
    <t>D10</t>
  </si>
  <si>
    <t>EDIFICAÇÃO 10 - Gleba D10</t>
  </si>
  <si>
    <t>D11</t>
  </si>
  <si>
    <t>EDIFICAÇÃO 11 - Gleba D11</t>
  </si>
  <si>
    <t>D12</t>
  </si>
  <si>
    <t>EDIFICAÇÃO 12 - Gleba D12</t>
  </si>
  <si>
    <t>D13</t>
  </si>
  <si>
    <t>EDIFICAÇÃO 13 - Gleba D13</t>
  </si>
  <si>
    <t>D16</t>
  </si>
  <si>
    <t>EDIFICAÇÃO 14 - Gleba D16</t>
  </si>
  <si>
    <t>D17</t>
  </si>
  <si>
    <t>EDIFICAÇÃO 15 - Gleba D17</t>
  </si>
  <si>
    <t>PESM Itutinga Pilões pt.2</t>
  </si>
  <si>
    <t>D18</t>
  </si>
  <si>
    <t>EDIFICAÇÃO 16 - Gleba D18</t>
  </si>
  <si>
    <t>D18.1</t>
  </si>
  <si>
    <t>D18.2</t>
  </si>
  <si>
    <t>D18.3</t>
  </si>
  <si>
    <t>D18.4</t>
  </si>
  <si>
    <t>D18.5</t>
  </si>
  <si>
    <t>D18.6</t>
  </si>
  <si>
    <t>D18.7</t>
  </si>
  <si>
    <t>D18.8</t>
  </si>
  <si>
    <t>D19</t>
  </si>
  <si>
    <t>EDIFICAÇÃO 17 - Gleba D19</t>
  </si>
  <si>
    <t>D21</t>
  </si>
  <si>
    <t>EDIFICAÇÃO 18 - Gleba D21</t>
  </si>
  <si>
    <t>D27</t>
  </si>
  <si>
    <t>EDIFICAÇÃO 19 - Gleba D27</t>
  </si>
  <si>
    <t>D31</t>
  </si>
  <si>
    <t>EDIFICAÇÃO 20 - Gleba D31</t>
  </si>
  <si>
    <t>D32</t>
  </si>
  <si>
    <t>EDIFICAÇÃO 21 - Gleba D32</t>
  </si>
  <si>
    <t>D33</t>
  </si>
  <si>
    <t>EDIFICAÇÃO 22 - Gleba D33</t>
  </si>
  <si>
    <t>F01</t>
  </si>
  <si>
    <t>EDIFICAÇÃO 23 - Gleba F01</t>
  </si>
  <si>
    <t>F03</t>
  </si>
  <si>
    <t>EDIFICAÇÃO 24 - Gleba F03</t>
  </si>
  <si>
    <t>F04</t>
  </si>
  <si>
    <t>EDIFICAÇÃO 25 - Gleba F04</t>
  </si>
  <si>
    <t>F05</t>
  </si>
  <si>
    <t>EDIFICAÇÃO 26 - Gleba F05</t>
  </si>
  <si>
    <t>F06</t>
  </si>
  <si>
    <t>EDIFICAÇÃO 27 - Gleba F06</t>
  </si>
  <si>
    <t>G01</t>
  </si>
  <si>
    <t>EDIFICAÇÃO 28 - G01</t>
  </si>
  <si>
    <t>E14</t>
  </si>
  <si>
    <t>EDIFICAÇÃO 29 - Gleba 386</t>
  </si>
  <si>
    <t>E15</t>
  </si>
  <si>
    <t>EDIFICAÇÃO 30 - Gleba 389</t>
  </si>
  <si>
    <t>UNIDADE DE CONSERVAÇÃO</t>
  </si>
  <si>
    <t>SUBTOTAL</t>
  </si>
  <si>
    <t>TOTAL</t>
  </si>
  <si>
    <t>dias</t>
  </si>
  <si>
    <t>Somatórias</t>
  </si>
  <si>
    <t>DEMONSTRATIVO DE COMPOSIÇÃO DO BDI</t>
  </si>
  <si>
    <t>Componentes do BDI indicado pelo Acordão TCU-Plenario nº2622/2013 para obras de "Construção de edificios"</t>
  </si>
  <si>
    <t>Quartil a ser adotado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</si>
  <si>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</si>
  <si>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</si>
  <si>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</si>
  <si>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</si>
  <si>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</si>
  <si>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</si>
  <si>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</si>
  <si>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</si>
  <si>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</si>
  <si>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</si>
  <si>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</si>
  <si>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</si>
  <si>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</si>
  <si>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</si>
  <si>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</si>
  <si>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</si>
  <si>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</si>
  <si>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</si>
  <si>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</si>
  <si>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</si>
  <si>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</si>
  <si>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</si>
  <si>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</si>
  <si>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rPr>
        <sz val="11"/>
        <color theme="1"/>
        <rFont val="Calibri"/>
      </rPr>
      <t xml:space="preserve">BDI = </t>
    </r>
    <r>
      <rPr>
        <u/>
        <sz val="11"/>
        <color theme="1"/>
        <rFont val="Calibri"/>
      </rPr>
      <t>(1+("2.1"+"4.1"+"4.2"))x(1+"3.1")x(1+"1.1")</t>
    </r>
    <r>
      <rPr>
        <sz val="11"/>
        <color rgb="FF000000"/>
        <rFont val="Calibri"/>
      </rPr>
      <t xml:space="preserve"> -1</t>
    </r>
  </si>
  <si>
    <t>(1-("5.1"+"5.2"+"5.3"+"5.4"))</t>
  </si>
  <si>
    <r>
      <rPr>
        <b/>
        <sz val="14"/>
        <color theme="1"/>
        <rFont val="Calibri"/>
      </rPr>
      <t>BDI</t>
    </r>
    <r>
      <rPr>
        <sz val="11"/>
        <color rgb="FF000000"/>
        <rFont val="Calibri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</si>
  <si>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</si>
  <si>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</si>
  <si>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</si>
  <si>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</rPr>
      <t>Taxa Administração local</t>
    </r>
    <r>
      <rPr>
        <sz val="11"/>
        <color rgb="FF000000"/>
        <rFont val="Calibri"/>
      </rPr>
      <t xml:space="preserve"> adotada</t>
    </r>
  </si>
  <si>
    <t>MÊS</t>
  </si>
  <si>
    <t>SubTotal</t>
  </si>
  <si>
    <t>DIAS</t>
  </si>
  <si>
    <t>Sub Total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</si>
</sst>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\-* #,##0.00_-;_-* &quot;-&quot;??_-;_-@"/>
    <numFmt numFmtId="165" formatCode="_-* #,##0.000_-;\-* #,##0.000_-;_-* &quot;-&quot;???_-;_-@"/>
    <numFmt numFmtId="166" formatCode="0.00\ &quot;m³&quot;"/>
    <numFmt numFmtId="167" formatCode="_-&quot;R$&quot;* #,##0.00_-;\-&quot;R$&quot;* #,##0.00_-;_-&quot;R$&quot;* &quot;-&quot;??_-;_-@"/>
    <numFmt numFmtId="168" formatCode="[$R$ -416]#,##0.00"/>
  </numFmts>
  <fonts count="35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Rasa"/>
    </font>
    <font>
      <b/>
      <sz val="14"/>
      <color theme="1"/>
      <name val="Rasa"/>
    </font>
    <font>
      <b/>
      <u/>
      <sz val="11"/>
      <color rgb="FF000000"/>
      <name val="Rasa"/>
    </font>
    <font>
      <b/>
      <u/>
      <sz val="9"/>
      <color rgb="FF000000"/>
      <name val="Rasa"/>
    </font>
    <font>
      <b/>
      <sz val="12"/>
      <color rgb="FF000000"/>
      <name val="Rasa"/>
    </font>
    <font>
      <b/>
      <sz val="10"/>
      <color rgb="FF000000"/>
      <name val="Rasa"/>
    </font>
    <font>
      <b/>
      <sz val="11"/>
      <color rgb="FF000000"/>
      <name val="Rasa"/>
    </font>
    <font>
      <sz val="11"/>
      <color rgb="FF000000"/>
      <name val="Calibri"/>
    </font>
    <font>
      <sz val="11"/>
      <color theme="0"/>
      <name val="Rasa"/>
    </font>
    <font>
      <sz val="11"/>
      <color theme="1"/>
      <name val="Rasa"/>
    </font>
    <font>
      <sz val="10"/>
      <color rgb="FF000000"/>
      <name val="Rasa"/>
    </font>
    <font>
      <sz val="11"/>
      <name val="Calibri"/>
    </font>
    <font>
      <b/>
      <sz val="11"/>
      <color rgb="FF000000"/>
      <name val="Calibri"/>
    </font>
    <font>
      <b/>
      <sz val="16"/>
      <color rgb="FFFF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sz val="14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sz val="11"/>
      <color theme="1"/>
      <name val="Arial"/>
    </font>
    <font>
      <sz val="11"/>
      <color theme="1"/>
      <name val="Calibri"/>
      <scheme val="minor"/>
    </font>
    <font>
      <sz val="9"/>
      <color rgb="FF000000"/>
      <name val="&quot;Google Sans Mono&quot;"/>
    </font>
    <font>
      <sz val="11"/>
      <color theme="1"/>
      <name val="Calibri"/>
      <scheme val="minor"/>
    </font>
    <font>
      <u/>
      <sz val="11"/>
      <color theme="1"/>
      <name val="Calibri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  <fill>
      <patternFill patternType="solid">
        <fgColor theme="6"/>
        <bgColor theme="6"/>
      </patternFill>
    </fill>
    <fill>
      <patternFill patternType="solid">
        <fgColor rgb="FFE7E6E6"/>
        <bgColor rgb="FFE7E6E6"/>
      </patternFill>
    </fill>
    <fill>
      <patternFill patternType="solid">
        <fgColor rgb="FFEF11DF"/>
        <bgColor rgb="FFEF11DF"/>
      </patternFill>
    </fill>
    <fill>
      <patternFill patternType="solid">
        <fgColor rgb="FFF2F2F2"/>
        <bgColor rgb="FFF2F2F2"/>
      </patternFill>
    </fill>
    <fill>
      <patternFill patternType="solid">
        <fgColor rgb="FFAEABAB"/>
        <bgColor rgb="FFAEABAB"/>
      </patternFill>
    </fill>
    <fill>
      <patternFill patternType="solid">
        <fgColor rgb="FF9CC2E5"/>
        <bgColor rgb="FF9CC2E5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FD965"/>
        <bgColor rgb="FFFFD965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26"/>
    <xf numFmtId="0" fontId="30" fillId="0" borderId="26"/>
    <xf numFmtId="43" fontId="30" fillId="0" borderId="26" applyFont="0" applyFill="0" applyBorder="0" applyAlignment="0" applyProtection="0"/>
  </cellStyleXfs>
  <cellXfs count="3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left" vertical="center" wrapText="1"/>
    </xf>
    <xf numFmtId="165" fontId="2" fillId="5" borderId="8" xfId="0" applyNumberFormat="1" applyFont="1" applyFill="1" applyBorder="1" applyAlignment="1">
      <alignment horizontal="left" vertical="center" wrapText="1"/>
    </xf>
    <xf numFmtId="164" fontId="2" fillId="6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11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9" fillId="7" borderId="1" xfId="0" applyFont="1" applyFill="1" applyBorder="1"/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0" borderId="15" xfId="0" applyFont="1" applyBorder="1"/>
    <xf numFmtId="0" fontId="9" fillId="0" borderId="16" xfId="0" applyFont="1" applyBorder="1"/>
    <xf numFmtId="0" fontId="9" fillId="3" borderId="1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0" borderId="11" xfId="0" applyFont="1" applyBorder="1"/>
    <xf numFmtId="164" fontId="9" fillId="0" borderId="11" xfId="0" applyNumberFormat="1" applyFont="1" applyBorder="1"/>
    <xf numFmtId="164" fontId="9" fillId="0" borderId="15" xfId="0" applyNumberFormat="1" applyFont="1" applyBorder="1"/>
    <xf numFmtId="164" fontId="9" fillId="0" borderId="16" xfId="0" applyNumberFormat="1" applyFont="1" applyBorder="1"/>
    <xf numFmtId="0" fontId="9" fillId="3" borderId="11" xfId="0" applyFont="1" applyFill="1" applyBorder="1"/>
    <xf numFmtId="0" fontId="9" fillId="0" borderId="11" xfId="0" applyFont="1" applyBorder="1" applyAlignment="1">
      <alignment wrapText="1"/>
    </xf>
    <xf numFmtId="164" fontId="8" fillId="2" borderId="3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164" fontId="9" fillId="7" borderId="1" xfId="0" applyNumberFormat="1" applyFont="1" applyFill="1" applyBorder="1"/>
    <xf numFmtId="0" fontId="8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/>
    </xf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164" fontId="9" fillId="0" borderId="19" xfId="0" applyNumberFormat="1" applyFont="1" applyBorder="1"/>
    <xf numFmtId="166" fontId="9" fillId="0" borderId="19" xfId="0" applyNumberFormat="1" applyFont="1" applyBorder="1"/>
    <xf numFmtId="0" fontId="9" fillId="0" borderId="0" xfId="0" applyFont="1" applyAlignment="1">
      <alignment horizontal="center"/>
    </xf>
    <xf numFmtId="166" fontId="9" fillId="0" borderId="11" xfId="0" applyNumberFormat="1" applyFont="1" applyBorder="1"/>
    <xf numFmtId="167" fontId="6" fillId="4" borderId="4" xfId="0" applyNumberFormat="1" applyFont="1" applyFill="1" applyBorder="1" applyAlignment="1">
      <alignment horizontal="center" vertical="center"/>
    </xf>
    <xf numFmtId="167" fontId="6" fillId="4" borderId="5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/>
    </xf>
    <xf numFmtId="167" fontId="6" fillId="8" borderId="4" xfId="0" applyNumberFormat="1" applyFont="1" applyFill="1" applyBorder="1" applyAlignment="1">
      <alignment horizontal="center" vertical="center"/>
    </xf>
    <xf numFmtId="167" fontId="6" fillId="8" borderId="5" xfId="0" applyNumberFormat="1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167" fontId="6" fillId="9" borderId="4" xfId="0" applyNumberFormat="1" applyFont="1" applyFill="1" applyBorder="1" applyAlignment="1">
      <alignment horizontal="center" vertical="center"/>
    </xf>
    <xf numFmtId="167" fontId="6" fillId="9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/>
    <xf numFmtId="0" fontId="8" fillId="1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167" fontId="6" fillId="10" borderId="4" xfId="0" applyNumberFormat="1" applyFont="1" applyFill="1" applyBorder="1" applyAlignment="1">
      <alignment horizontal="center" vertical="center"/>
    </xf>
    <xf numFmtId="167" fontId="6" fillId="10" borderId="5" xfId="0" applyNumberFormat="1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167" fontId="6" fillId="11" borderId="4" xfId="0" applyNumberFormat="1" applyFont="1" applyFill="1" applyBorder="1" applyAlignment="1">
      <alignment horizontal="center" vertical="center"/>
    </xf>
    <xf numFmtId="167" fontId="6" fillId="11" borderId="5" xfId="0" applyNumberFormat="1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167" fontId="6" fillId="12" borderId="4" xfId="0" applyNumberFormat="1" applyFont="1" applyFill="1" applyBorder="1" applyAlignment="1">
      <alignment horizontal="center" vertical="center"/>
    </xf>
    <xf numFmtId="167" fontId="6" fillId="12" borderId="5" xfId="0" applyNumberFormat="1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167" fontId="6" fillId="13" borderId="4" xfId="0" applyNumberFormat="1" applyFont="1" applyFill="1" applyBorder="1" applyAlignment="1">
      <alignment horizontal="center" vertical="center"/>
    </xf>
    <xf numFmtId="167" fontId="6" fillId="13" borderId="5" xfId="0" applyNumberFormat="1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 vertical="center"/>
    </xf>
    <xf numFmtId="167" fontId="6" fillId="14" borderId="4" xfId="0" applyNumberFormat="1" applyFont="1" applyFill="1" applyBorder="1" applyAlignment="1">
      <alignment horizontal="center" vertical="center"/>
    </xf>
    <xf numFmtId="167" fontId="6" fillId="14" borderId="5" xfId="0" applyNumberFormat="1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167" fontId="6" fillId="15" borderId="4" xfId="0" applyNumberFormat="1" applyFont="1" applyFill="1" applyBorder="1" applyAlignment="1">
      <alignment horizontal="center" vertical="center"/>
    </xf>
    <xf numFmtId="167" fontId="6" fillId="15" borderId="5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167" fontId="6" fillId="16" borderId="4" xfId="0" applyNumberFormat="1" applyFont="1" applyFill="1" applyBorder="1" applyAlignment="1">
      <alignment horizontal="center" vertical="center"/>
    </xf>
    <xf numFmtId="167" fontId="6" fillId="16" borderId="5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167" fontId="6" fillId="17" borderId="4" xfId="0" applyNumberFormat="1" applyFont="1" applyFill="1" applyBorder="1" applyAlignment="1">
      <alignment horizontal="center" vertical="center"/>
    </xf>
    <xf numFmtId="167" fontId="6" fillId="17" borderId="5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167" fontId="6" fillId="18" borderId="4" xfId="0" applyNumberFormat="1" applyFont="1" applyFill="1" applyBorder="1" applyAlignment="1">
      <alignment horizontal="center" vertical="center"/>
    </xf>
    <xf numFmtId="167" fontId="6" fillId="18" borderId="5" xfId="0" applyNumberFormat="1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167" fontId="6" fillId="19" borderId="4" xfId="0" applyNumberFormat="1" applyFont="1" applyFill="1" applyBorder="1" applyAlignment="1">
      <alignment horizontal="center" vertical="center"/>
    </xf>
    <xf numFmtId="167" fontId="6" fillId="19" borderId="5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/>
    </xf>
    <xf numFmtId="164" fontId="9" fillId="20" borderId="11" xfId="0" applyNumberFormat="1" applyFont="1" applyFill="1" applyBorder="1"/>
    <xf numFmtId="164" fontId="14" fillId="20" borderId="11" xfId="0" applyNumberFormat="1" applyFont="1" applyFill="1" applyBorder="1"/>
    <xf numFmtId="164" fontId="9" fillId="7" borderId="11" xfId="0" applyNumberFormat="1" applyFont="1" applyFill="1" applyBorder="1"/>
    <xf numFmtId="164" fontId="14" fillId="7" borderId="11" xfId="0" applyNumberFormat="1" applyFont="1" applyFill="1" applyBorder="1"/>
    <xf numFmtId="164" fontId="9" fillId="3" borderId="11" xfId="0" applyNumberFormat="1" applyFont="1" applyFill="1" applyBorder="1"/>
    <xf numFmtId="164" fontId="14" fillId="3" borderId="11" xfId="0" applyNumberFormat="1" applyFont="1" applyFill="1" applyBorder="1"/>
    <xf numFmtId="0" fontId="9" fillId="7" borderId="23" xfId="0" applyFont="1" applyFill="1" applyBorder="1"/>
    <xf numFmtId="164" fontId="9" fillId="7" borderId="24" xfId="0" applyNumberFormat="1" applyFont="1" applyFill="1" applyBorder="1"/>
    <xf numFmtId="164" fontId="16" fillId="7" borderId="24" xfId="0" applyNumberFormat="1" applyFont="1" applyFill="1" applyBorder="1"/>
    <xf numFmtId="0" fontId="9" fillId="21" borderId="6" xfId="0" applyFont="1" applyFill="1" applyBorder="1" applyAlignment="1">
      <alignment horizontal="center" vertical="center" wrapText="1"/>
    </xf>
    <xf numFmtId="0" fontId="9" fillId="21" borderId="6" xfId="0" applyFont="1" applyFill="1" applyBorder="1" applyAlignment="1">
      <alignment horizontal="center" wrapText="1"/>
    </xf>
    <xf numFmtId="0" fontId="9" fillId="21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4" fontId="9" fillId="7" borderId="6" xfId="0" applyNumberFormat="1" applyFont="1" applyFill="1" applyBorder="1"/>
    <xf numFmtId="164" fontId="18" fillId="7" borderId="11" xfId="0" applyNumberFormat="1" applyFont="1" applyFill="1" applyBorder="1"/>
    <xf numFmtId="164" fontId="17" fillId="7" borderId="24" xfId="0" applyNumberFormat="1" applyFont="1" applyFill="1" applyBorder="1"/>
    <xf numFmtId="0" fontId="20" fillId="7" borderId="1" xfId="0" applyFont="1" applyFill="1" applyBorder="1"/>
    <xf numFmtId="0" fontId="21" fillId="7" borderId="1" xfId="0" applyFont="1" applyFill="1" applyBorder="1" applyAlignment="1">
      <alignment horizontal="center" vertical="center" wrapText="1"/>
    </xf>
    <xf numFmtId="0" fontId="23" fillId="22" borderId="1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/>
    </xf>
    <xf numFmtId="0" fontId="20" fillId="10" borderId="7" xfId="0" applyFont="1" applyFill="1" applyBorder="1"/>
    <xf numFmtId="0" fontId="20" fillId="10" borderId="8" xfId="0" applyFont="1" applyFill="1" applyBorder="1"/>
    <xf numFmtId="0" fontId="20" fillId="7" borderId="6" xfId="0" applyFont="1" applyFill="1" applyBorder="1" applyAlignment="1">
      <alignment horizontal="center" vertical="center"/>
    </xf>
    <xf numFmtId="0" fontId="20" fillId="7" borderId="6" xfId="0" applyFont="1" applyFill="1" applyBorder="1"/>
    <xf numFmtId="10" fontId="9" fillId="7" borderId="6" xfId="0" applyNumberFormat="1" applyFont="1" applyFill="1" applyBorder="1"/>
    <xf numFmtId="10" fontId="9" fillId="22" borderId="6" xfId="0" applyNumberFormat="1" applyFont="1" applyFill="1" applyBorder="1"/>
    <xf numFmtId="0" fontId="20" fillId="7" borderId="1" xfId="0" applyFont="1" applyFill="1" applyBorder="1" applyAlignment="1">
      <alignment horizontal="center" vertical="center"/>
    </xf>
    <xf numFmtId="10" fontId="19" fillId="7" borderId="5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/>
    </xf>
    <xf numFmtId="0" fontId="9" fillId="22" borderId="6" xfId="0" applyFont="1" applyFill="1" applyBorder="1" applyAlignment="1">
      <alignment horizontal="center" vertical="center"/>
    </xf>
    <xf numFmtId="10" fontId="19" fillId="7" borderId="27" xfId="0" applyNumberFormat="1" applyFont="1" applyFill="1" applyBorder="1" applyAlignment="1">
      <alignment horizontal="center" vertical="center"/>
    </xf>
    <xf numFmtId="0" fontId="25" fillId="6" borderId="0" xfId="0" applyFont="1" applyFill="1"/>
    <xf numFmtId="0" fontId="20" fillId="23" borderId="11" xfId="0" applyFont="1" applyFill="1" applyBorder="1"/>
    <xf numFmtId="168" fontId="26" fillId="23" borderId="11" xfId="0" applyNumberFormat="1" applyFont="1" applyFill="1" applyBorder="1"/>
    <xf numFmtId="0" fontId="26" fillId="23" borderId="10" xfId="0" applyFont="1" applyFill="1" applyBorder="1"/>
    <xf numFmtId="0" fontId="9" fillId="6" borderId="11" xfId="0" applyFont="1" applyFill="1" applyBorder="1" applyAlignment="1">
      <alignment horizontal="center" vertical="center"/>
    </xf>
    <xf numFmtId="0" fontId="20" fillId="6" borderId="11" xfId="0" applyFont="1" applyFill="1" applyBorder="1"/>
    <xf numFmtId="168" fontId="26" fillId="0" borderId="11" xfId="0" applyNumberFormat="1" applyFont="1" applyBorder="1"/>
    <xf numFmtId="0" fontId="26" fillId="0" borderId="10" xfId="0" applyFont="1" applyBorder="1"/>
    <xf numFmtId="168" fontId="27" fillId="0" borderId="11" xfId="0" applyNumberFormat="1" applyFont="1" applyBorder="1" applyAlignment="1">
      <alignment horizontal="left"/>
    </xf>
    <xf numFmtId="168" fontId="27" fillId="0" borderId="10" xfId="0" applyNumberFormat="1" applyFont="1" applyBorder="1" applyAlignment="1">
      <alignment horizontal="left"/>
    </xf>
    <xf numFmtId="0" fontId="9" fillId="23" borderId="11" xfId="0" applyFont="1" applyFill="1" applyBorder="1" applyAlignment="1">
      <alignment horizontal="center"/>
    </xf>
    <xf numFmtId="168" fontId="26" fillId="23" borderId="10" xfId="0" applyNumberFormat="1" applyFont="1" applyFill="1" applyBorder="1"/>
    <xf numFmtId="168" fontId="20" fillId="0" borderId="11" xfId="0" applyNumberFormat="1" applyFont="1" applyBorder="1" applyAlignment="1">
      <alignment horizontal="right"/>
    </xf>
    <xf numFmtId="0" fontId="20" fillId="0" borderId="11" xfId="0" applyFont="1" applyBorder="1"/>
    <xf numFmtId="0" fontId="26" fillId="0" borderId="11" xfId="0" applyFont="1" applyBorder="1"/>
    <xf numFmtId="168" fontId="26" fillId="0" borderId="10" xfId="0" applyNumberFormat="1" applyFont="1" applyBorder="1"/>
    <xf numFmtId="0" fontId="9" fillId="24" borderId="11" xfId="0" applyFont="1" applyFill="1" applyBorder="1" applyAlignment="1">
      <alignment horizontal="center"/>
    </xf>
    <xf numFmtId="0" fontId="20" fillId="24" borderId="11" xfId="0" applyFont="1" applyFill="1" applyBorder="1"/>
    <xf numFmtId="168" fontId="26" fillId="24" borderId="11" xfId="0" applyNumberFormat="1" applyFont="1" applyFill="1" applyBorder="1"/>
    <xf numFmtId="0" fontId="26" fillId="24" borderId="10" xfId="0" applyFont="1" applyFill="1" applyBorder="1"/>
    <xf numFmtId="0" fontId="20" fillId="25" borderId="0" xfId="0" applyFont="1" applyFill="1"/>
    <xf numFmtId="0" fontId="20" fillId="25" borderId="0" xfId="0" applyFont="1" applyFill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8" xfId="0" applyFont="1" applyBorder="1"/>
    <xf numFmtId="0" fontId="13" fillId="0" borderId="17" xfId="0" applyFont="1" applyBorder="1"/>
    <xf numFmtId="0" fontId="6" fillId="19" borderId="14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5" fillId="0" borderId="12" xfId="0" applyFont="1" applyBorder="1" applyAlignment="1">
      <alignment horizontal="center" vertical="center" wrapText="1"/>
    </xf>
    <xf numFmtId="0" fontId="13" fillId="0" borderId="13" xfId="0" applyFont="1" applyBorder="1"/>
    <xf numFmtId="0" fontId="13" fillId="0" borderId="15" xfId="0" applyFont="1" applyBorder="1"/>
    <xf numFmtId="0" fontId="13" fillId="0" borderId="16" xfId="0" applyFont="1" applyBorder="1"/>
    <xf numFmtId="0" fontId="8" fillId="2" borderId="14" xfId="0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9" fillId="7" borderId="21" xfId="0" applyFont="1" applyFill="1" applyBorder="1" applyAlignment="1">
      <alignment horizontal="center" vertical="center" wrapText="1"/>
    </xf>
    <xf numFmtId="0" fontId="13" fillId="0" borderId="22" xfId="0" applyFont="1" applyBorder="1"/>
    <xf numFmtId="0" fontId="13" fillId="0" borderId="19" xfId="0" applyFont="1" applyBorder="1"/>
    <xf numFmtId="0" fontId="17" fillId="7" borderId="14" xfId="0" applyFont="1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13" fillId="0" borderId="26" xfId="0" applyFont="1" applyBorder="1"/>
    <xf numFmtId="0" fontId="20" fillId="7" borderId="25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right" vertical="center" wrapText="1"/>
    </xf>
    <xf numFmtId="165" fontId="2" fillId="3" borderId="26" xfId="0" applyNumberFormat="1" applyFont="1" applyFill="1" applyBorder="1" applyAlignment="1">
      <alignment vertical="center"/>
    </xf>
    <xf numFmtId="165" fontId="2" fillId="0" borderId="26" xfId="0" applyNumberFormat="1" applyFont="1" applyBorder="1" applyAlignment="1">
      <alignment vertical="center"/>
    </xf>
    <xf numFmtId="165" fontId="8" fillId="4" borderId="8" xfId="0" applyNumberFormat="1" applyFont="1" applyFill="1" applyBorder="1" applyAlignment="1">
      <alignment horizontal="center" vertical="center" wrapText="1"/>
    </xf>
    <xf numFmtId="165" fontId="2" fillId="6" borderId="8" xfId="0" applyNumberFormat="1" applyFont="1" applyFill="1" applyBorder="1" applyAlignment="1">
      <alignment horizontal="right" vertical="center" wrapText="1"/>
    </xf>
    <xf numFmtId="0" fontId="2" fillId="3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/>
    </xf>
    <xf numFmtId="164" fontId="8" fillId="0" borderId="28" xfId="0" applyNumberFormat="1" applyFont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center" vertical="center" wrapText="1"/>
    </xf>
    <xf numFmtId="164" fontId="2" fillId="5" borderId="28" xfId="0" applyNumberFormat="1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left" vertical="center" wrapText="1"/>
    </xf>
    <xf numFmtId="164" fontId="2" fillId="6" borderId="28" xfId="0" applyNumberFormat="1" applyFont="1" applyFill="1" applyBorder="1" applyAlignment="1">
      <alignment horizontal="right" vertical="center" wrapText="1"/>
    </xf>
    <xf numFmtId="164" fontId="2" fillId="6" borderId="28" xfId="0" applyNumberFormat="1" applyFont="1" applyFill="1" applyBorder="1" applyAlignment="1">
      <alignment horizontal="center" vertical="center" wrapText="1"/>
    </xf>
    <xf numFmtId="2" fontId="2" fillId="6" borderId="2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vertical="center"/>
    </xf>
    <xf numFmtId="165" fontId="11" fillId="0" borderId="8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164" fontId="11" fillId="0" borderId="28" xfId="0" applyNumberFormat="1" applyFont="1" applyBorder="1" applyAlignment="1">
      <alignment horizontal="right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/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164" fontId="20" fillId="25" borderId="28" xfId="0" applyNumberFormat="1" applyFont="1" applyFill="1" applyBorder="1" applyAlignment="1">
      <alignment horizontal="center"/>
    </xf>
    <xf numFmtId="164" fontId="27" fillId="25" borderId="28" xfId="0" applyNumberFormat="1" applyFont="1" applyFill="1" applyBorder="1"/>
    <xf numFmtId="164" fontId="20" fillId="25" borderId="28" xfId="0" applyNumberFormat="1" applyFont="1" applyFill="1" applyBorder="1"/>
    <xf numFmtId="164" fontId="28" fillId="25" borderId="28" xfId="0" applyNumberFormat="1" applyFont="1" applyFill="1" applyBorder="1"/>
    <xf numFmtId="0" fontId="33" fillId="6" borderId="33" xfId="0" applyFont="1" applyFill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9" fillId="24" borderId="38" xfId="0" applyFont="1" applyFill="1" applyBorder="1" applyAlignment="1">
      <alignment horizontal="center"/>
    </xf>
    <xf numFmtId="0" fontId="20" fillId="24" borderId="38" xfId="0" applyFont="1" applyFill="1" applyBorder="1"/>
    <xf numFmtId="168" fontId="26" fillId="24" borderId="38" xfId="0" applyNumberFormat="1" applyFont="1" applyFill="1" applyBorder="1"/>
    <xf numFmtId="0" fontId="26" fillId="24" borderId="39" xfId="0" applyFont="1" applyFill="1" applyBorder="1"/>
    <xf numFmtId="164" fontId="27" fillId="24" borderId="40" xfId="0" applyNumberFormat="1" applyFont="1" applyFill="1" applyBorder="1" applyAlignment="1">
      <alignment horizontal="left"/>
    </xf>
    <xf numFmtId="164" fontId="27" fillId="0" borderId="42" xfId="0" applyNumberFormat="1" applyFont="1" applyBorder="1" applyAlignment="1">
      <alignment horizontal="left"/>
    </xf>
    <xf numFmtId="164" fontId="27" fillId="24" borderId="42" xfId="0" applyNumberFormat="1" applyFont="1" applyFill="1" applyBorder="1" applyAlignment="1">
      <alignment horizontal="left"/>
    </xf>
    <xf numFmtId="0" fontId="9" fillId="24" borderId="44" xfId="0" applyFont="1" applyFill="1" applyBorder="1" applyAlignment="1">
      <alignment horizontal="center"/>
    </xf>
    <xf numFmtId="0" fontId="20" fillId="24" borderId="44" xfId="0" applyFont="1" applyFill="1" applyBorder="1"/>
    <xf numFmtId="168" fontId="26" fillId="24" borderId="44" xfId="0" applyNumberFormat="1" applyFont="1" applyFill="1" applyBorder="1"/>
    <xf numFmtId="0" fontId="26" fillId="24" borderId="45" xfId="0" applyFont="1" applyFill="1" applyBorder="1"/>
    <xf numFmtId="164" fontId="27" fillId="24" borderId="46" xfId="0" applyNumberFormat="1" applyFont="1" applyFill="1" applyBorder="1" applyAlignment="1">
      <alignment horizontal="left"/>
    </xf>
    <xf numFmtId="0" fontId="20" fillId="23" borderId="39" xfId="0" applyFont="1" applyFill="1" applyBorder="1" applyAlignment="1">
      <alignment horizontal="center"/>
    </xf>
    <xf numFmtId="0" fontId="20" fillId="23" borderId="38" xfId="0" applyFont="1" applyFill="1" applyBorder="1"/>
    <xf numFmtId="168" fontId="26" fillId="23" borderId="38" xfId="0" applyNumberFormat="1" applyFont="1" applyFill="1" applyBorder="1"/>
    <xf numFmtId="0" fontId="26" fillId="23" borderId="39" xfId="0" applyFont="1" applyFill="1" applyBorder="1"/>
    <xf numFmtId="164" fontId="27" fillId="23" borderId="40" xfId="0" applyNumberFormat="1" applyFont="1" applyFill="1" applyBorder="1" applyAlignment="1">
      <alignment horizontal="left"/>
    </xf>
    <xf numFmtId="164" fontId="27" fillId="23" borderId="42" xfId="0" applyNumberFormat="1" applyFont="1" applyFill="1" applyBorder="1" applyAlignment="1">
      <alignment horizontal="left"/>
    </xf>
    <xf numFmtId="0" fontId="9" fillId="7" borderId="44" xfId="0" applyFont="1" applyFill="1" applyBorder="1" applyAlignment="1">
      <alignment horizontal="center"/>
    </xf>
    <xf numFmtId="0" fontId="20" fillId="6" borderId="44" xfId="0" applyFont="1" applyFill="1" applyBorder="1"/>
    <xf numFmtId="168" fontId="26" fillId="0" borderId="44" xfId="0" applyNumberFormat="1" applyFont="1" applyBorder="1"/>
    <xf numFmtId="0" fontId="26" fillId="0" borderId="45" xfId="0" applyFont="1" applyBorder="1"/>
    <xf numFmtId="164" fontId="27" fillId="0" borderId="46" xfId="0" applyNumberFormat="1" applyFont="1" applyBorder="1" applyAlignment="1">
      <alignment horizontal="left"/>
    </xf>
    <xf numFmtId="0" fontId="33" fillId="6" borderId="34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33" fillId="6" borderId="32" xfId="0" applyFont="1" applyFill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2" fillId="6" borderId="35" xfId="0" applyFont="1" applyFill="1" applyBorder="1" applyAlignment="1">
      <alignment vertical="center"/>
    </xf>
    <xf numFmtId="0" fontId="33" fillId="6" borderId="35" xfId="0" applyFont="1" applyFill="1" applyBorder="1" applyAlignment="1">
      <alignment horizontal="center" vertical="center"/>
    </xf>
    <xf numFmtId="0" fontId="33" fillId="6" borderId="35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/>
    </xf>
    <xf numFmtId="0" fontId="33" fillId="6" borderId="37" xfId="0" applyFont="1" applyFill="1" applyBorder="1" applyAlignment="1">
      <alignment horizontal="center" vertical="center" wrapText="1"/>
    </xf>
    <xf numFmtId="0" fontId="34" fillId="0" borderId="41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1" fillId="6" borderId="3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Vírgula 2" xfId="3" xr:uid="{00000000-0005-0000-0000-000003000000}"/>
  </cellStyles>
  <dxfs count="5077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17</xdr:row>
      <xdr:rowOff>0</xdr:rowOff>
    </xdr:from>
    <xdr:ext cx="209550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209550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209550" cy="28575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ras%20Florestal\Demoli&#231;&#245;es\Demoli&#231;&#245;es%20-%20Jacar&#233;,%20Picinguaba,%20Jureia,%20Ilha%20Cardoso,%20Jurupar&#225;\Planilha%20de%20custo\C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P184" sqref="P184"/>
    </sheetView>
  </sheetViews>
  <sheetFormatPr defaultColWidth="14.42578125" defaultRowHeight="15" customHeight="1"/>
  <cols>
    <col min="1" max="1" width="9.140625" customWidth="1"/>
    <col min="2" max="2" width="13.140625" customWidth="1"/>
    <col min="3" max="3" width="81.140625" customWidth="1"/>
    <col min="4" max="4" width="10.140625" customWidth="1"/>
    <col min="5" max="5" width="11" customWidth="1"/>
    <col min="6" max="6" width="19" customWidth="1"/>
    <col min="7" max="7" width="13.85546875" customWidth="1"/>
    <col min="8" max="8" width="13.7109375" customWidth="1"/>
    <col min="9" max="9" width="19.85546875" customWidth="1"/>
    <col min="10" max="10" width="13.140625" hidden="1" customWidth="1"/>
    <col min="11" max="12" width="9.140625" hidden="1" customWidth="1"/>
    <col min="13" max="13" width="0.5703125" customWidth="1"/>
    <col min="14" max="26" width="9.140625" customWidth="1"/>
  </cols>
  <sheetData>
    <row r="1" spans="1:26" ht="15" customHeight="1">
      <c r="A1" s="1"/>
      <c r="B1" s="1"/>
      <c r="C1" s="2"/>
      <c r="D1" s="3"/>
      <c r="E1" s="3"/>
      <c r="F1" s="4"/>
      <c r="G1" s="4"/>
      <c r="H1" s="5"/>
      <c r="I1" s="5"/>
      <c r="J1" s="6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242">
        <v>1</v>
      </c>
      <c r="B2" s="243"/>
      <c r="C2" s="244" t="s">
        <v>1</v>
      </c>
      <c r="D2" s="243"/>
      <c r="E2" s="243"/>
      <c r="F2" s="243"/>
      <c r="G2" s="243"/>
      <c r="H2" s="243"/>
      <c r="I2" s="243"/>
      <c r="J2" s="24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240" t="s">
        <v>2</v>
      </c>
      <c r="B3" s="223"/>
      <c r="C3" s="240" t="s">
        <v>3</v>
      </c>
      <c r="D3" s="223"/>
      <c r="E3" s="223"/>
      <c r="F3" s="223"/>
      <c r="G3" s="223"/>
      <c r="H3" s="223"/>
      <c r="I3" s="223"/>
      <c r="J3" s="245"/>
      <c r="K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226"/>
      <c r="B4" s="224"/>
      <c r="C4" s="225"/>
      <c r="D4" s="226"/>
      <c r="E4" s="226"/>
      <c r="F4" s="227"/>
      <c r="G4" s="227"/>
      <c r="H4" s="228"/>
      <c r="I4" s="224"/>
      <c r="J4" s="2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229" t="s">
        <v>4</v>
      </c>
      <c r="B5" s="230" t="s">
        <v>5</v>
      </c>
      <c r="C5" s="229" t="s">
        <v>6</v>
      </c>
      <c r="D5" s="229" t="s">
        <v>7</v>
      </c>
      <c r="E5" s="229" t="s">
        <v>8</v>
      </c>
      <c r="F5" s="229" t="s">
        <v>9</v>
      </c>
      <c r="G5" s="229" t="s">
        <v>10</v>
      </c>
      <c r="H5" s="229" t="s">
        <v>11</v>
      </c>
      <c r="I5" s="229" t="s">
        <v>12</v>
      </c>
      <c r="J5" s="221" t="s">
        <v>13</v>
      </c>
      <c r="K5" s="1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231" t="s">
        <v>15</v>
      </c>
      <c r="B6" s="231"/>
      <c r="C6" s="231" t="s">
        <v>16</v>
      </c>
      <c r="D6" s="232" t="s">
        <v>17</v>
      </c>
      <c r="E6" s="232"/>
      <c r="F6" s="233"/>
      <c r="G6" s="233"/>
      <c r="H6" s="233"/>
      <c r="I6" s="233">
        <f>SUM(I7)</f>
        <v>0</v>
      </c>
      <c r="J6" s="15"/>
      <c r="K6" s="14">
        <f>ROUNDUP(SUM(K7),2)</f>
        <v>0.9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226"/>
      <c r="B7" s="234" t="s">
        <v>18</v>
      </c>
      <c r="C7" s="235" t="s">
        <v>19</v>
      </c>
      <c r="D7" s="234" t="s">
        <v>20</v>
      </c>
      <c r="E7" s="234">
        <v>5</v>
      </c>
      <c r="F7" s="236"/>
      <c r="G7" s="236"/>
      <c r="H7" s="236">
        <f>G7+F7</f>
        <v>0</v>
      </c>
      <c r="I7" s="236">
        <f>H7*E7</f>
        <v>0</v>
      </c>
      <c r="J7" s="222">
        <f>ROUNDUP((2.27+1.91)/24,2)</f>
        <v>0.18000000000000002</v>
      </c>
      <c r="K7" s="16">
        <f>ROUNDUP(J7*E7,2)</f>
        <v>0.9</v>
      </c>
      <c r="L7" s="1"/>
      <c r="M7" s="1" t="e">
        <f>IF(N7=C7,"ok","CPOS alterada")</f>
        <v>#N/A</v>
      </c>
      <c r="N7" s="17" t="e">
        <f>VLOOKUP(B7,[1]Plan1!$A:$G,2,FALSE)</f>
        <v>#N/A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231" t="s">
        <v>21</v>
      </c>
      <c r="B8" s="231"/>
      <c r="C8" s="231" t="s">
        <v>22</v>
      </c>
      <c r="D8" s="232" t="s">
        <v>17</v>
      </c>
      <c r="E8" s="232"/>
      <c r="F8" s="233"/>
      <c r="G8" s="233"/>
      <c r="H8" s="233"/>
      <c r="I8" s="233">
        <f>SUM(I9)</f>
        <v>0</v>
      </c>
      <c r="J8" s="15"/>
      <c r="K8" s="14">
        <f>ROUNDUP(SUM(K9),2)</f>
        <v>0.6</v>
      </c>
      <c r="L8" s="1"/>
      <c r="M8" s="1"/>
      <c r="N8" s="1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26"/>
      <c r="B9" s="234" t="s">
        <v>23</v>
      </c>
      <c r="C9" s="247" t="s">
        <v>24</v>
      </c>
      <c r="D9" s="234" t="s">
        <v>25</v>
      </c>
      <c r="E9" s="234">
        <v>0.5</v>
      </c>
      <c r="F9" s="236"/>
      <c r="G9" s="236"/>
      <c r="H9" s="236">
        <f>G9+F9</f>
        <v>0</v>
      </c>
      <c r="I9" s="236">
        <f>H9*E9</f>
        <v>0</v>
      </c>
      <c r="J9" s="222">
        <f>ROUNDUP((22.68+5.67)/24,2)</f>
        <v>1.19</v>
      </c>
      <c r="K9" s="16">
        <f>ROUNDUP(J9*E9,2)</f>
        <v>0.6</v>
      </c>
      <c r="L9" s="1"/>
      <c r="M9" s="1" t="e">
        <f>IF(N9=C9,"ok","CPOS alterada")</f>
        <v>#N/A</v>
      </c>
      <c r="N9" s="17" t="e">
        <f>VLOOKUP(B9,[1]Plan1!$A:$G,2,FALSE)</f>
        <v>#N/A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231" t="s">
        <v>26</v>
      </c>
      <c r="B10" s="231"/>
      <c r="C10" s="231" t="s">
        <v>27</v>
      </c>
      <c r="D10" s="232" t="s">
        <v>28</v>
      </c>
      <c r="E10" s="232"/>
      <c r="F10" s="233"/>
      <c r="G10" s="233"/>
      <c r="H10" s="233"/>
      <c r="I10" s="233">
        <f>SUM(I11)</f>
        <v>0</v>
      </c>
      <c r="J10" s="15"/>
      <c r="K10" s="14">
        <f>ROUNDUP(SUM(K11),2)</f>
        <v>0.24</v>
      </c>
      <c r="L10" s="1"/>
      <c r="M10" s="1"/>
      <c r="N10" s="1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226"/>
      <c r="B11" s="234" t="s">
        <v>29</v>
      </c>
      <c r="C11" s="247" t="s">
        <v>30</v>
      </c>
      <c r="D11" s="234" t="s">
        <v>20</v>
      </c>
      <c r="E11" s="234">
        <v>2.1</v>
      </c>
      <c r="F11" s="236"/>
      <c r="G11" s="236"/>
      <c r="H11" s="236">
        <f>G11+F11</f>
        <v>0</v>
      </c>
      <c r="I11" s="236">
        <f>H11*E11</f>
        <v>0</v>
      </c>
      <c r="J11" s="222">
        <f>ROUNDUP((0.9265+0.8+0.112+0.315+0.28)/24,2)</f>
        <v>0.11</v>
      </c>
      <c r="K11" s="16">
        <f>ROUNDUP(J11*E11,2)</f>
        <v>0.24000000000000002</v>
      </c>
      <c r="L11" s="1"/>
      <c r="M11" s="1" t="e">
        <f>IF(N11=C11,"ok","CPOS alterada")</f>
        <v>#N/A</v>
      </c>
      <c r="N11" s="17" t="e">
        <f>VLOOKUP(B11,[1]Plan1!$A:$G,2,FALSE)</f>
        <v>#N/A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231" t="s">
        <v>31</v>
      </c>
      <c r="B12" s="231"/>
      <c r="C12" s="231" t="s">
        <v>32</v>
      </c>
      <c r="D12" s="232" t="s">
        <v>28</v>
      </c>
      <c r="E12" s="232"/>
      <c r="F12" s="233"/>
      <c r="G12" s="233"/>
      <c r="H12" s="233"/>
      <c r="I12" s="233">
        <f>SUM(I13:I14)</f>
        <v>0</v>
      </c>
      <c r="J12" s="15"/>
      <c r="K12" s="14">
        <f>ROUNDUP(SUM(K13:K14),2)</f>
        <v>0.08</v>
      </c>
      <c r="L12" s="1"/>
      <c r="M12" s="1"/>
      <c r="N12" s="1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226"/>
      <c r="B13" s="234" t="s">
        <v>33</v>
      </c>
      <c r="C13" s="247" t="s">
        <v>34</v>
      </c>
      <c r="D13" s="234" t="s">
        <v>20</v>
      </c>
      <c r="E13" s="234">
        <v>2</v>
      </c>
      <c r="F13" s="236"/>
      <c r="G13" s="236"/>
      <c r="H13" s="236">
        <f t="shared" ref="H13:H14" si="0">G13+F13</f>
        <v>0</v>
      </c>
      <c r="I13" s="236">
        <f t="shared" ref="I13:I14" si="1">H13*E13</f>
        <v>0</v>
      </c>
      <c r="J13" s="222">
        <f>ROUNDUP((0.25)/24,2)</f>
        <v>0.02</v>
      </c>
      <c r="K13" s="16">
        <f t="shared" ref="K13:K14" si="2">ROUNDUP(J13*E13,2)</f>
        <v>0.04</v>
      </c>
      <c r="L13" s="1"/>
      <c r="M13" s="1" t="e">
        <f t="shared" ref="M13:M14" si="3">IF(N13=C13,"ok","CPOS alterada")</f>
        <v>#N/A</v>
      </c>
      <c r="N13" s="17" t="e">
        <f>VLOOKUP(B13,[1]Plan1!$A:$G,2,FALSE)</f>
        <v>#N/A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226"/>
      <c r="B14" s="234" t="s">
        <v>35</v>
      </c>
      <c r="C14" s="247" t="s">
        <v>36</v>
      </c>
      <c r="D14" s="234" t="s">
        <v>20</v>
      </c>
      <c r="E14" s="234">
        <v>2</v>
      </c>
      <c r="F14" s="236"/>
      <c r="G14" s="236"/>
      <c r="H14" s="236">
        <f t="shared" si="0"/>
        <v>0</v>
      </c>
      <c r="I14" s="236">
        <f t="shared" si="1"/>
        <v>0</v>
      </c>
      <c r="J14" s="222">
        <f>ROUNDUP((0.32)/24,2)</f>
        <v>0.02</v>
      </c>
      <c r="K14" s="16">
        <f t="shared" si="2"/>
        <v>0.04</v>
      </c>
      <c r="L14" s="1"/>
      <c r="M14" s="1" t="e">
        <f t="shared" si="3"/>
        <v>#N/A</v>
      </c>
      <c r="N14" s="17" t="e">
        <f>VLOOKUP(B14,[1]Plan1!$A:$G,2,FALSE)</f>
        <v>#N/A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231" t="s">
        <v>37</v>
      </c>
      <c r="B15" s="231"/>
      <c r="C15" s="231" t="s">
        <v>38</v>
      </c>
      <c r="D15" s="232" t="s">
        <v>28</v>
      </c>
      <c r="E15" s="232"/>
      <c r="F15" s="233"/>
      <c r="G15" s="233"/>
      <c r="H15" s="233"/>
      <c r="I15" s="233">
        <f>SUM(I16:I17)</f>
        <v>0</v>
      </c>
      <c r="J15" s="15"/>
      <c r="K15" s="14">
        <f>ROUNDUP(SUM(K16:K17),2)</f>
        <v>0.08</v>
      </c>
      <c r="L15" s="1"/>
      <c r="M15" s="1"/>
      <c r="N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226"/>
      <c r="B16" s="234" t="s">
        <v>39</v>
      </c>
      <c r="C16" s="247" t="s">
        <v>40</v>
      </c>
      <c r="D16" s="234" t="s">
        <v>41</v>
      </c>
      <c r="E16" s="234">
        <f>0.4*6</f>
        <v>2.4000000000000004</v>
      </c>
      <c r="F16" s="236"/>
      <c r="G16" s="236"/>
      <c r="H16" s="236">
        <f t="shared" ref="H16:H17" si="4">G16+F16</f>
        <v>0</v>
      </c>
      <c r="I16" s="236">
        <f t="shared" ref="I16:I17" si="5">H16*E16</f>
        <v>0</v>
      </c>
      <c r="J16" s="222">
        <f>ROUNDUP((0.032+0.0105+0.014+0.008+0.032+0.0151)/24,2)</f>
        <v>0.01</v>
      </c>
      <c r="K16" s="16">
        <f t="shared" ref="K16:K17" si="6">ROUNDUP(J16*E16,2)</f>
        <v>0.03</v>
      </c>
      <c r="L16" s="1"/>
      <c r="M16" s="1" t="e">
        <f t="shared" ref="M16:M17" si="7">IF(N16=C16,"ok","CPOS alterada")</f>
        <v>#N/A</v>
      </c>
      <c r="N16" s="17" t="e">
        <f>VLOOKUP(B16,[1]Plan1!$A:$G,2,FALSE)</f>
        <v>#N/A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226"/>
      <c r="B17" s="234" t="s">
        <v>42</v>
      </c>
      <c r="C17" s="247" t="s">
        <v>43</v>
      </c>
      <c r="D17" s="234" t="s">
        <v>41</v>
      </c>
      <c r="E17" s="234">
        <f>0.2*6</f>
        <v>1.2000000000000002</v>
      </c>
      <c r="F17" s="236"/>
      <c r="G17" s="236"/>
      <c r="H17" s="236">
        <f t="shared" si="4"/>
        <v>0</v>
      </c>
      <c r="I17" s="236">
        <f t="shared" si="5"/>
        <v>0</v>
      </c>
      <c r="J17" s="222">
        <f>ROUNDUP((0.65+0.15+0.075)/24,2)</f>
        <v>0.04</v>
      </c>
      <c r="K17" s="16">
        <f t="shared" si="6"/>
        <v>0.05</v>
      </c>
      <c r="L17" s="1"/>
      <c r="M17" s="1" t="e">
        <f t="shared" si="7"/>
        <v>#N/A</v>
      </c>
      <c r="N17" s="17" t="e">
        <f>VLOOKUP(B17,[1]Plan1!$A:$G,2,FALSE)</f>
        <v>#N/A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231" t="s">
        <v>44</v>
      </c>
      <c r="B18" s="231"/>
      <c r="C18" s="231" t="s">
        <v>45</v>
      </c>
      <c r="D18" s="232" t="s">
        <v>17</v>
      </c>
      <c r="E18" s="232"/>
      <c r="F18" s="233"/>
      <c r="G18" s="233"/>
      <c r="H18" s="233"/>
      <c r="I18" s="233">
        <f>SUM(I19:I21)</f>
        <v>0</v>
      </c>
      <c r="J18" s="15"/>
      <c r="K18" s="14">
        <f>SUM(K19:K21)</f>
        <v>4.1000000000000005</v>
      </c>
      <c r="L18" s="1"/>
      <c r="M18" s="1"/>
      <c r="N18" s="1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226"/>
      <c r="B19" s="234" t="s">
        <v>46</v>
      </c>
      <c r="C19" s="247" t="s">
        <v>47</v>
      </c>
      <c r="D19" s="234" t="s">
        <v>20</v>
      </c>
      <c r="E19" s="234">
        <v>15</v>
      </c>
      <c r="F19" s="236"/>
      <c r="G19" s="236"/>
      <c r="H19" s="236">
        <f t="shared" ref="H19:H21" si="8">G19+F19</f>
        <v>0</v>
      </c>
      <c r="I19" s="236">
        <f t="shared" ref="I19:I21" si="9">H19*E19</f>
        <v>0</v>
      </c>
      <c r="J19" s="222">
        <f>ROUNDUP((0.51*2+0.2+1.05+0.52+0.26+2.25+0.04+0.07)/24,3)</f>
        <v>0.22600000000000001</v>
      </c>
      <c r="K19" s="16">
        <f t="shared" ref="K19:K21" si="10">ROUNDUP(J19*E19,2)</f>
        <v>3.39</v>
      </c>
      <c r="L19" s="1"/>
      <c r="M19" s="1" t="e">
        <f t="shared" ref="M19:M21" si="11">IF(N19=C19,"ok","CPOS alterada")</f>
        <v>#N/A</v>
      </c>
      <c r="N19" s="17" t="e">
        <f>VLOOKUP(B19,[1]Plan1!$A:$G,2,FALSE)</f>
        <v>#N/A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226"/>
      <c r="B20" s="234" t="s">
        <v>48</v>
      </c>
      <c r="C20" s="247" t="s">
        <v>49</v>
      </c>
      <c r="D20" s="234" t="s">
        <v>50</v>
      </c>
      <c r="E20" s="234">
        <v>2</v>
      </c>
      <c r="F20" s="236"/>
      <c r="G20" s="236"/>
      <c r="H20" s="236">
        <f t="shared" si="8"/>
        <v>0</v>
      </c>
      <c r="I20" s="236">
        <f t="shared" si="9"/>
        <v>0</v>
      </c>
      <c r="J20" s="222">
        <v>0.25</v>
      </c>
      <c r="K20" s="16">
        <f t="shared" si="10"/>
        <v>0.5</v>
      </c>
      <c r="L20" s="1"/>
      <c r="M20" s="1" t="e">
        <f t="shared" si="11"/>
        <v>#N/A</v>
      </c>
      <c r="N20" s="17" t="e">
        <f>VLOOKUP(B20,[1]Plan1!$A:$G,2,FALSE)</f>
        <v>#N/A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226"/>
      <c r="B21" s="234" t="s">
        <v>51</v>
      </c>
      <c r="C21" s="247" t="s">
        <v>52</v>
      </c>
      <c r="D21" s="234" t="s">
        <v>20</v>
      </c>
      <c r="E21" s="234">
        <v>15</v>
      </c>
      <c r="F21" s="236"/>
      <c r="G21" s="236"/>
      <c r="H21" s="236">
        <f t="shared" si="8"/>
        <v>0</v>
      </c>
      <c r="I21" s="236">
        <f t="shared" si="9"/>
        <v>0</v>
      </c>
      <c r="J21" s="222">
        <f>ROUNDUP((0.065*3+0.13)/24,3)</f>
        <v>1.3999999999999999E-2</v>
      </c>
      <c r="K21" s="16">
        <f t="shared" si="10"/>
        <v>0.21</v>
      </c>
      <c r="L21" s="1"/>
      <c r="M21" s="1" t="e">
        <f t="shared" si="11"/>
        <v>#N/A</v>
      </c>
      <c r="N21" s="17" t="e">
        <f>VLOOKUP(B21,[1]Plan1!$A:$G,2,FALSE)</f>
        <v>#N/A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31" t="s">
        <v>53</v>
      </c>
      <c r="B22" s="231"/>
      <c r="C22" s="231" t="s">
        <v>54</v>
      </c>
      <c r="D22" s="232" t="s">
        <v>55</v>
      </c>
      <c r="E22" s="232"/>
      <c r="F22" s="233"/>
      <c r="G22" s="233"/>
      <c r="H22" s="233"/>
      <c r="I22" s="233">
        <f>SUM(I23)</f>
        <v>0</v>
      </c>
      <c r="J22" s="15"/>
      <c r="K22" s="14">
        <f>SUM(K23)</f>
        <v>20</v>
      </c>
      <c r="L22" s="1"/>
      <c r="M22" s="1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248"/>
      <c r="B23" s="249" t="s">
        <v>56</v>
      </c>
      <c r="C23" s="250" t="s">
        <v>57</v>
      </c>
      <c r="D23" s="249" t="s">
        <v>55</v>
      </c>
      <c r="E23" s="249">
        <v>1</v>
      </c>
      <c r="F23" s="236"/>
      <c r="G23" s="236"/>
      <c r="H23" s="236">
        <f>G23+F23</f>
        <v>0</v>
      </c>
      <c r="I23" s="251">
        <f>H23*E23</f>
        <v>0</v>
      </c>
      <c r="J23" s="246">
        <v>20</v>
      </c>
      <c r="K23" s="18">
        <f>ROUNDUP(J23*E23,2)</f>
        <v>20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customHeight="1">
      <c r="A24" s="231" t="s">
        <v>58</v>
      </c>
      <c r="B24" s="231"/>
      <c r="C24" s="231" t="s">
        <v>59</v>
      </c>
      <c r="D24" s="232" t="s">
        <v>17</v>
      </c>
      <c r="E24" s="232"/>
      <c r="F24" s="233"/>
      <c r="G24" s="233"/>
      <c r="H24" s="233"/>
      <c r="I24" s="233">
        <f>SUM(I25)</f>
        <v>0</v>
      </c>
      <c r="J24" s="15"/>
      <c r="K24" s="14">
        <f>SUM(K25)</f>
        <v>2</v>
      </c>
      <c r="L24" s="1"/>
      <c r="M24" s="1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226"/>
      <c r="B25" s="252" t="s">
        <v>60</v>
      </c>
      <c r="C25" s="235" t="s">
        <v>59</v>
      </c>
      <c r="D25" s="234" t="s">
        <v>17</v>
      </c>
      <c r="E25" s="234">
        <v>1</v>
      </c>
      <c r="F25" s="236"/>
      <c r="G25" s="236"/>
      <c r="H25" s="236">
        <f>G25+F25</f>
        <v>0</v>
      </c>
      <c r="I25" s="236">
        <f>H25*E25</f>
        <v>0</v>
      </c>
      <c r="J25" s="222">
        <f>ROUNDUP((48)/24,3)</f>
        <v>2</v>
      </c>
      <c r="K25" s="16">
        <f>ROUNDUP(J25*E25,2)</f>
        <v>2</v>
      </c>
      <c r="L25" s="1"/>
      <c r="M25" s="1" t="e">
        <f>IF(N25=C25,"ok","CPOS alterada")</f>
        <v>#N/A</v>
      </c>
      <c r="N25" s="17" t="e">
        <f>VLOOKUP(B25,[1]Plan1!$A:$G,2,FALSE)</f>
        <v>#N/A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231" t="s">
        <v>61</v>
      </c>
      <c r="B26" s="231"/>
      <c r="C26" s="231" t="s">
        <v>62</v>
      </c>
      <c r="D26" s="232" t="s">
        <v>17</v>
      </c>
      <c r="E26" s="232"/>
      <c r="F26" s="233"/>
      <c r="G26" s="233"/>
      <c r="H26" s="233"/>
      <c r="I26" s="233">
        <f>SUM(I27)</f>
        <v>0</v>
      </c>
      <c r="J26" s="15"/>
      <c r="K26" s="14">
        <f>SUM(K27)</f>
        <v>1.8</v>
      </c>
      <c r="L26" s="1"/>
      <c r="M26" s="1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226"/>
      <c r="B27" s="252" t="s">
        <v>63</v>
      </c>
      <c r="C27" s="235" t="s">
        <v>64</v>
      </c>
      <c r="D27" s="234" t="s">
        <v>17</v>
      </c>
      <c r="E27" s="234">
        <v>1</v>
      </c>
      <c r="F27" s="236"/>
      <c r="G27" s="236"/>
      <c r="H27" s="236">
        <f>G27+F27</f>
        <v>0</v>
      </c>
      <c r="I27" s="236">
        <f>H27*E27</f>
        <v>0</v>
      </c>
      <c r="J27" s="222">
        <f>ROUNDUP((4+39)/24,3)</f>
        <v>1.7919999999999998</v>
      </c>
      <c r="K27" s="16">
        <f>ROUNDUP(J27*E27,2)</f>
        <v>1.8</v>
      </c>
      <c r="L27" s="1"/>
      <c r="M27" s="1" t="e">
        <f>IF(N27=C27,"ok","CPOS alterada")</f>
        <v>#N/A</v>
      </c>
      <c r="N27" s="17" t="e">
        <f>VLOOKUP(B27,[1]Plan1!$A:$G,2,FALSE)</f>
        <v>#N/A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231" t="s">
        <v>65</v>
      </c>
      <c r="B28" s="231"/>
      <c r="C28" s="231"/>
      <c r="D28" s="232"/>
      <c r="E28" s="232"/>
      <c r="F28" s="233"/>
      <c r="G28" s="233"/>
      <c r="H28" s="233"/>
      <c r="I28" s="233">
        <f>SUM(I29)</f>
        <v>0</v>
      </c>
      <c r="J28" s="15"/>
      <c r="K28" s="14">
        <f>SUM(K29)</f>
        <v>0</v>
      </c>
      <c r="L28" s="1"/>
      <c r="M28" s="1"/>
      <c r="N28" s="1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226"/>
      <c r="B29" s="252"/>
      <c r="C29" s="235"/>
      <c r="D29" s="234"/>
      <c r="E29" s="234"/>
      <c r="F29" s="237"/>
      <c r="G29" s="237"/>
      <c r="H29" s="236"/>
      <c r="I29" s="236">
        <f>H29*E29</f>
        <v>0</v>
      </c>
      <c r="J29" s="222"/>
      <c r="K29" s="16">
        <f>ROUNDUP(J29*E29,2)</f>
        <v>0</v>
      </c>
      <c r="L29" s="1"/>
      <c r="M29" s="1" t="e">
        <f>IF(N29=C29,"ok","CPOS alterada")</f>
        <v>#N/A</v>
      </c>
      <c r="N29" s="17" t="e">
        <f>VLOOKUP(B29,[1]Plan1!$A:$G,3,FALSE)</f>
        <v>#N/A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9"/>
      <c r="D30" s="3"/>
      <c r="E30" s="3"/>
      <c r="F30" s="10"/>
      <c r="G30" s="10"/>
      <c r="H30" s="11"/>
      <c r="I30" s="1"/>
      <c r="J30" s="12"/>
      <c r="K30" s="1"/>
      <c r="L30" s="1"/>
      <c r="M30" s="1"/>
      <c r="N30" s="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242">
        <v>2</v>
      </c>
      <c r="B31" s="243"/>
      <c r="C31" s="244" t="s">
        <v>66</v>
      </c>
      <c r="D31" s="243"/>
      <c r="E31" s="243"/>
      <c r="F31" s="243"/>
      <c r="G31" s="243"/>
      <c r="H31" s="243"/>
      <c r="I31" s="243"/>
      <c r="J31" s="241"/>
      <c r="K31" s="7"/>
      <c r="L31" s="1"/>
      <c r="M31" s="1"/>
      <c r="N31" s="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240" t="s">
        <v>67</v>
      </c>
      <c r="B32" s="223"/>
      <c r="C32" s="240" t="s">
        <v>68</v>
      </c>
      <c r="D32" s="223"/>
      <c r="E32" s="223"/>
      <c r="F32" s="223"/>
      <c r="G32" s="223"/>
      <c r="H32" s="223"/>
      <c r="I32" s="223"/>
      <c r="J32" s="239"/>
      <c r="K32" s="8"/>
      <c r="L32" s="1"/>
      <c r="M32" s="1"/>
      <c r="N32" s="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" customHeight="1">
      <c r="A33" s="226"/>
      <c r="B33" s="224"/>
      <c r="C33" s="225"/>
      <c r="D33" s="226"/>
      <c r="E33" s="226"/>
      <c r="F33" s="227"/>
      <c r="G33" s="227"/>
      <c r="H33" s="228"/>
      <c r="I33" s="224"/>
      <c r="J33" s="220"/>
      <c r="K33" s="1"/>
      <c r="L33" s="1"/>
      <c r="M33" s="1"/>
      <c r="N33" s="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229" t="s">
        <v>4</v>
      </c>
      <c r="B34" s="230" t="s">
        <v>5</v>
      </c>
      <c r="C34" s="229" t="s">
        <v>6</v>
      </c>
      <c r="D34" s="229" t="s">
        <v>7</v>
      </c>
      <c r="E34" s="229" t="s">
        <v>8</v>
      </c>
      <c r="F34" s="229" t="s">
        <v>9</v>
      </c>
      <c r="G34" s="229" t="s">
        <v>10</v>
      </c>
      <c r="H34" s="229" t="s">
        <v>11</v>
      </c>
      <c r="I34" s="229" t="s">
        <v>12</v>
      </c>
      <c r="J34" s="221"/>
      <c r="K34" s="13" t="s">
        <v>14</v>
      </c>
      <c r="L34" s="1"/>
      <c r="M34" s="1"/>
      <c r="N34" s="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231" t="s">
        <v>69</v>
      </c>
      <c r="B35" s="231"/>
      <c r="C35" s="231" t="s">
        <v>70</v>
      </c>
      <c r="D35" s="232" t="s">
        <v>20</v>
      </c>
      <c r="E35" s="232"/>
      <c r="F35" s="233"/>
      <c r="G35" s="233"/>
      <c r="H35" s="233"/>
      <c r="I35" s="233">
        <f>SUM(I36:I37)</f>
        <v>0</v>
      </c>
      <c r="J35" s="15"/>
      <c r="K35" s="14">
        <f>ROUNDUP(SUM(K36:K37),2)</f>
        <v>0.12</v>
      </c>
      <c r="L35" s="1"/>
      <c r="M35" s="1"/>
      <c r="N35" s="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226"/>
      <c r="B36" s="234" t="s">
        <v>71</v>
      </c>
      <c r="C36" s="235" t="s">
        <v>72</v>
      </c>
      <c r="D36" s="234" t="s">
        <v>41</v>
      </c>
      <c r="E36" s="234">
        <v>0.1</v>
      </c>
      <c r="F36" s="236"/>
      <c r="G36" s="236"/>
      <c r="H36" s="236">
        <f>G36+F36</f>
        <v>0</v>
      </c>
      <c r="I36" s="236">
        <f t="shared" ref="I36:I37" si="12">H36*E36</f>
        <v>0</v>
      </c>
      <c r="J36" s="222">
        <f>ROUNDUP((20)/24,3)</f>
        <v>0.83399999999999996</v>
      </c>
      <c r="K36" s="16">
        <f t="shared" ref="K36:K37" si="13">ROUNDUP(J36*E36,2)</f>
        <v>0.09</v>
      </c>
      <c r="L36" s="1"/>
      <c r="M36" s="1" t="e">
        <f t="shared" ref="M36:M37" si="14">IF(N36=C36,"ok","CPOS alterada")</f>
        <v>#N/A</v>
      </c>
      <c r="N36" s="17" t="e">
        <f>VLOOKUP(B36,[1]Plan1!$A:$G,2,FALSE)</f>
        <v>#N/A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226"/>
      <c r="B37" s="234" t="s">
        <v>73</v>
      </c>
      <c r="C37" s="235" t="s">
        <v>74</v>
      </c>
      <c r="D37" s="234" t="s">
        <v>20</v>
      </c>
      <c r="E37" s="234">
        <v>1</v>
      </c>
      <c r="F37" s="236"/>
      <c r="G37" s="236"/>
      <c r="H37" s="236">
        <f>G37+F37</f>
        <v>0</v>
      </c>
      <c r="I37" s="236">
        <f t="shared" si="12"/>
        <v>0</v>
      </c>
      <c r="J37" s="222">
        <f>ROUNDUP((0.5)/24,3)</f>
        <v>2.1000000000000001E-2</v>
      </c>
      <c r="K37" s="16">
        <f t="shared" si="13"/>
        <v>0.03</v>
      </c>
      <c r="L37" s="1"/>
      <c r="M37" s="1" t="e">
        <f t="shared" si="14"/>
        <v>#N/A</v>
      </c>
      <c r="N37" s="17" t="e">
        <f>VLOOKUP(B37,[1]Plan1!$A:$G,2,FALSE)</f>
        <v>#N/A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231" t="s">
        <v>75</v>
      </c>
      <c r="B38" s="231"/>
      <c r="C38" s="231" t="s">
        <v>76</v>
      </c>
      <c r="D38" s="232" t="s">
        <v>20</v>
      </c>
      <c r="E38" s="232"/>
      <c r="F38" s="233"/>
      <c r="G38" s="233"/>
      <c r="H38" s="233"/>
      <c r="I38" s="233">
        <f>SUM(I39:I42)</f>
        <v>0</v>
      </c>
      <c r="J38" s="15"/>
      <c r="K38" s="14">
        <f>ROUNDUP(SUM(K39:K42),2)</f>
        <v>0.06</v>
      </c>
      <c r="L38" s="1"/>
      <c r="M38" s="1"/>
      <c r="N38" s="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226"/>
      <c r="B39" s="234" t="s">
        <v>77</v>
      </c>
      <c r="C39" s="235" t="s">
        <v>78</v>
      </c>
      <c r="D39" s="234" t="s">
        <v>20</v>
      </c>
      <c r="E39" s="234">
        <v>1</v>
      </c>
      <c r="F39" s="236"/>
      <c r="G39" s="236"/>
      <c r="H39" s="236">
        <f t="shared" ref="H39:H42" si="15">G39+F39</f>
        <v>0</v>
      </c>
      <c r="I39" s="236">
        <f t="shared" ref="I39:I42" si="16">H39*E39</f>
        <v>0</v>
      </c>
      <c r="J39" s="222">
        <f>ROUNDUP((0.5)/24,3)</f>
        <v>2.1000000000000001E-2</v>
      </c>
      <c r="K39" s="16">
        <f t="shared" ref="K39:K42" si="17">ROUNDUP(J39*E39,2)</f>
        <v>0.03</v>
      </c>
      <c r="L39" s="1"/>
      <c r="M39" s="1" t="e">
        <f t="shared" ref="M39:M42" si="18">IF(N39=C39,"ok","CPOS alterada")</f>
        <v>#N/A</v>
      </c>
      <c r="N39" s="17" t="e">
        <f>VLOOKUP(B39,[1]Plan1!$A:$G,2,FALSE)</f>
        <v>#N/A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226"/>
      <c r="B40" s="234" t="s">
        <v>79</v>
      </c>
      <c r="C40" s="235" t="s">
        <v>80</v>
      </c>
      <c r="D40" s="234" t="s">
        <v>28</v>
      </c>
      <c r="E40" s="234">
        <f>ROUNDUP(2/5.5,2)</f>
        <v>0.37</v>
      </c>
      <c r="F40" s="236"/>
      <c r="G40" s="236"/>
      <c r="H40" s="236">
        <f t="shared" si="15"/>
        <v>0</v>
      </c>
      <c r="I40" s="236">
        <f t="shared" si="16"/>
        <v>0</v>
      </c>
      <c r="J40" s="222">
        <f>ROUNDUP((0.4)/24,3)</f>
        <v>1.7000000000000001E-2</v>
      </c>
      <c r="K40" s="16">
        <f t="shared" si="17"/>
        <v>0.01</v>
      </c>
      <c r="L40" s="1"/>
      <c r="M40" s="1" t="e">
        <f t="shared" si="18"/>
        <v>#N/A</v>
      </c>
      <c r="N40" s="17" t="e">
        <f>VLOOKUP(B40,[1]Plan1!$A:$G,2,FALSE)</f>
        <v>#N/A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226"/>
      <c r="B41" s="234" t="s">
        <v>81</v>
      </c>
      <c r="C41" s="235" t="s">
        <v>82</v>
      </c>
      <c r="D41" s="234" t="s">
        <v>41</v>
      </c>
      <c r="E41" s="234">
        <f>ROUNDUP((0.4*0.15+0.15*0.3)*2/5.5,2)</f>
        <v>0.04</v>
      </c>
      <c r="F41" s="236"/>
      <c r="G41" s="236"/>
      <c r="H41" s="236">
        <f t="shared" si="15"/>
        <v>0</v>
      </c>
      <c r="I41" s="236">
        <f t="shared" si="16"/>
        <v>0</v>
      </c>
      <c r="J41" s="222">
        <f>ROUNDUP((0.43)/24,3)</f>
        <v>1.8000000000000002E-2</v>
      </c>
      <c r="K41" s="16">
        <f t="shared" si="17"/>
        <v>0.01</v>
      </c>
      <c r="L41" s="1"/>
      <c r="M41" s="1" t="e">
        <f t="shared" si="18"/>
        <v>#N/A</v>
      </c>
      <c r="N41" s="17" t="e">
        <f>VLOOKUP(B41,[1]Plan1!$A:$G,2,FALSE)</f>
        <v>#N/A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226"/>
      <c r="B42" s="234" t="s">
        <v>83</v>
      </c>
      <c r="C42" s="235" t="s">
        <v>84</v>
      </c>
      <c r="D42" s="234" t="s">
        <v>41</v>
      </c>
      <c r="E42" s="234">
        <f>ROUNDUP((0.4*0.15)/5.5,2)</f>
        <v>0.02</v>
      </c>
      <c r="F42" s="236"/>
      <c r="G42" s="236"/>
      <c r="H42" s="236">
        <f t="shared" si="15"/>
        <v>0</v>
      </c>
      <c r="I42" s="236">
        <f t="shared" si="16"/>
        <v>0</v>
      </c>
      <c r="J42" s="222">
        <f>ROUNDUP((7)/24,3)</f>
        <v>0.29199999999999998</v>
      </c>
      <c r="K42" s="16">
        <f t="shared" si="17"/>
        <v>0.01</v>
      </c>
      <c r="L42" s="1"/>
      <c r="M42" s="1" t="e">
        <f t="shared" si="18"/>
        <v>#N/A</v>
      </c>
      <c r="N42" s="17" t="e">
        <f>VLOOKUP(B42,[1]Plan1!$A:$G,2,FALSE)</f>
        <v>#N/A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3"/>
      <c r="B43" s="1"/>
      <c r="C43" s="9"/>
      <c r="D43" s="3"/>
      <c r="E43" s="3"/>
      <c r="F43" s="10"/>
      <c r="G43" s="10"/>
      <c r="H43" s="11"/>
      <c r="I43" s="1"/>
      <c r="J43" s="12"/>
      <c r="K43" s="1"/>
      <c r="L43" s="1"/>
      <c r="M43" s="1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240" t="s">
        <v>85</v>
      </c>
      <c r="B44" s="223"/>
      <c r="C44" s="223" t="s">
        <v>86</v>
      </c>
      <c r="D44" s="223"/>
      <c r="E44" s="223"/>
      <c r="F44" s="223"/>
      <c r="G44" s="223"/>
      <c r="H44" s="223"/>
      <c r="I44" s="223"/>
      <c r="J44" s="239"/>
      <c r="K44" s="8"/>
      <c r="L44" s="1"/>
      <c r="M44" s="1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" customHeight="1">
      <c r="A45" s="226"/>
      <c r="B45" s="224"/>
      <c r="C45" s="225"/>
      <c r="D45" s="226"/>
      <c r="E45" s="226"/>
      <c r="F45" s="227"/>
      <c r="G45" s="227"/>
      <c r="H45" s="228"/>
      <c r="I45" s="224"/>
      <c r="J45" s="220"/>
      <c r="K45" s="1"/>
      <c r="L45" s="1"/>
      <c r="M45" s="1"/>
      <c r="N45" s="1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229" t="s">
        <v>4</v>
      </c>
      <c r="B46" s="230" t="s">
        <v>5</v>
      </c>
      <c r="C46" s="229" t="s">
        <v>6</v>
      </c>
      <c r="D46" s="229" t="s">
        <v>7</v>
      </c>
      <c r="E46" s="229" t="s">
        <v>8</v>
      </c>
      <c r="F46" s="229" t="s">
        <v>9</v>
      </c>
      <c r="G46" s="229" t="s">
        <v>10</v>
      </c>
      <c r="H46" s="229" t="s">
        <v>11</v>
      </c>
      <c r="I46" s="229" t="s">
        <v>12</v>
      </c>
      <c r="J46" s="221"/>
      <c r="K46" s="13" t="s">
        <v>14</v>
      </c>
      <c r="L46" s="1"/>
      <c r="M46" s="1"/>
      <c r="N46" s="1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231" t="s">
        <v>87</v>
      </c>
      <c r="B47" s="231"/>
      <c r="C47" s="231" t="s">
        <v>88</v>
      </c>
      <c r="D47" s="232" t="s">
        <v>28</v>
      </c>
      <c r="E47" s="232"/>
      <c r="F47" s="233"/>
      <c r="G47" s="233"/>
      <c r="H47" s="233"/>
      <c r="I47" s="233">
        <f>SUM(I48:I51)</f>
        <v>0</v>
      </c>
      <c r="J47" s="15"/>
      <c r="K47" s="14">
        <f>ROUNDUP(SUM(K48:K51),2)</f>
        <v>0.26</v>
      </c>
      <c r="L47" s="1"/>
      <c r="M47" s="1"/>
      <c r="N47" s="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226"/>
      <c r="B48" s="234" t="s">
        <v>89</v>
      </c>
      <c r="C48" s="235" t="s">
        <v>90</v>
      </c>
      <c r="D48" s="234" t="s">
        <v>41</v>
      </c>
      <c r="E48" s="234">
        <f>ROUNDUP(0.4*0.2,2)</f>
        <v>0.08</v>
      </c>
      <c r="F48" s="236"/>
      <c r="G48" s="236"/>
      <c r="H48" s="236">
        <f t="shared" ref="H48:H51" si="19">G48+F48</f>
        <v>0</v>
      </c>
      <c r="I48" s="236">
        <f t="shared" ref="I48:I51" si="20">H48*E48</f>
        <v>0</v>
      </c>
      <c r="J48" s="222">
        <f>ROUNDUP((6)/24,3)</f>
        <v>0.25</v>
      </c>
      <c r="K48" s="16">
        <f t="shared" ref="K48:K51" si="21">ROUNDUP(J48*E48,2)</f>
        <v>0.02</v>
      </c>
      <c r="L48" s="1"/>
      <c r="M48" s="1" t="e">
        <f t="shared" ref="M48:M51" si="22">IF(N48=C48,"ok","CPOS alterada")</f>
        <v>#N/A</v>
      </c>
      <c r="N48" s="17" t="e">
        <f>VLOOKUP(B48,[1]Plan1!$A:$G,2,FALSE)</f>
        <v>#N/A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226"/>
      <c r="B49" s="234" t="s">
        <v>71</v>
      </c>
      <c r="C49" s="235" t="s">
        <v>72</v>
      </c>
      <c r="D49" s="234" t="s">
        <v>41</v>
      </c>
      <c r="E49" s="234">
        <f>ROUNDUP(0.4*0.2+0.2*0.2+(0.2*0.2*2)/2+(0.2*0.2*1.5)/2,1)</f>
        <v>0.2</v>
      </c>
      <c r="F49" s="236"/>
      <c r="G49" s="236"/>
      <c r="H49" s="236">
        <f t="shared" si="19"/>
        <v>0</v>
      </c>
      <c r="I49" s="236">
        <f t="shared" si="20"/>
        <v>0</v>
      </c>
      <c r="J49" s="222">
        <f>ROUNDUP((20)/24,3)</f>
        <v>0.83399999999999996</v>
      </c>
      <c r="K49" s="16">
        <f t="shared" si="21"/>
        <v>0.17</v>
      </c>
      <c r="L49" s="1"/>
      <c r="M49" s="1" t="e">
        <f t="shared" si="22"/>
        <v>#N/A</v>
      </c>
      <c r="N49" s="17" t="e">
        <f>VLOOKUP(B49,[1]Plan1!$A:$G,2,FALSE)</f>
        <v>#N/A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226"/>
      <c r="B50" s="234" t="s">
        <v>91</v>
      </c>
      <c r="C50" s="235" t="s">
        <v>92</v>
      </c>
      <c r="D50" s="234" t="s">
        <v>41</v>
      </c>
      <c r="E50" s="234">
        <f>ROUNDUP(0.2*1.6,2)</f>
        <v>0.32</v>
      </c>
      <c r="F50" s="236"/>
      <c r="G50" s="236"/>
      <c r="H50" s="236">
        <f t="shared" si="19"/>
        <v>0</v>
      </c>
      <c r="I50" s="236">
        <f t="shared" si="20"/>
        <v>0</v>
      </c>
      <c r="J50" s="222">
        <f>ROUNDUP((4)/24,3)</f>
        <v>0.16700000000000001</v>
      </c>
      <c r="K50" s="16">
        <f t="shared" si="21"/>
        <v>6.0000000000000005E-2</v>
      </c>
      <c r="L50" s="1"/>
      <c r="M50" s="1" t="e">
        <f t="shared" si="22"/>
        <v>#N/A</v>
      </c>
      <c r="N50" s="17" t="e">
        <f>VLOOKUP(B50,[1]Plan1!$A:$G,2,FALSE)</f>
        <v>#N/A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226"/>
      <c r="B51" s="234" t="s">
        <v>81</v>
      </c>
      <c r="C51" s="235" t="s">
        <v>82</v>
      </c>
      <c r="D51" s="234" t="s">
        <v>41</v>
      </c>
      <c r="E51" s="234">
        <f>ROUNDUP(0.4*0.2+0.2*0.2*1.5/2,2)</f>
        <v>0.11</v>
      </c>
      <c r="F51" s="236"/>
      <c r="G51" s="236"/>
      <c r="H51" s="236">
        <f t="shared" si="19"/>
        <v>0</v>
      </c>
      <c r="I51" s="236">
        <f t="shared" si="20"/>
        <v>0</v>
      </c>
      <c r="J51" s="222">
        <f>ROUNDUP((0.43)/24,3)</f>
        <v>1.8000000000000002E-2</v>
      </c>
      <c r="K51" s="16">
        <f t="shared" si="21"/>
        <v>0.01</v>
      </c>
      <c r="L51" s="1"/>
      <c r="M51" s="1" t="e">
        <f t="shared" si="22"/>
        <v>#N/A</v>
      </c>
      <c r="N51" s="17" t="e">
        <f>VLOOKUP(B51,[1]Plan1!$A:$G,2,FALSE)</f>
        <v>#N/A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231" t="s">
        <v>93</v>
      </c>
      <c r="B52" s="231"/>
      <c r="C52" s="231" t="s">
        <v>94</v>
      </c>
      <c r="D52" s="232" t="s">
        <v>28</v>
      </c>
      <c r="E52" s="232"/>
      <c r="F52" s="233"/>
      <c r="G52" s="233"/>
      <c r="H52" s="233"/>
      <c r="I52" s="233">
        <f>SUM(I53:I55)</f>
        <v>0</v>
      </c>
      <c r="J52" s="15"/>
      <c r="K52" s="14">
        <f>ROUNDUP(SUM(K53:K55),2)</f>
        <v>0.06</v>
      </c>
      <c r="L52" s="1"/>
      <c r="M52" s="1"/>
      <c r="N52" s="17" t="e">
        <f>VLOOKUP(B52,[1]Plan1!$A:$G,2,FALSE)</f>
        <v>#N/A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226"/>
      <c r="B53" s="234" t="s">
        <v>95</v>
      </c>
      <c r="C53" s="235" t="s">
        <v>96</v>
      </c>
      <c r="D53" s="234" t="s">
        <v>28</v>
      </c>
      <c r="E53" s="234">
        <v>1</v>
      </c>
      <c r="F53" s="237"/>
      <c r="G53" s="236"/>
      <c r="H53" s="236">
        <f t="shared" ref="H53:H55" si="23">G53+F53</f>
        <v>0</v>
      </c>
      <c r="I53" s="236">
        <f t="shared" ref="I53:I55" si="24">H53*E53</f>
        <v>0</v>
      </c>
      <c r="J53" s="222">
        <f>ROUNDUP((0.62)/24,3)</f>
        <v>2.6000000000000002E-2</v>
      </c>
      <c r="K53" s="16">
        <f t="shared" ref="K53:K55" si="25">ROUNDUP(J53*E53,2)</f>
        <v>0.03</v>
      </c>
      <c r="L53" s="1"/>
      <c r="M53" s="1" t="e">
        <f t="shared" ref="M53:M55" si="26">IF(N53=C53,"ok","CPOS alterada")</f>
        <v>#N/A</v>
      </c>
      <c r="N53" s="17" t="e">
        <f>VLOOKUP(B53,[1]Plan1!$A:$G,2,FALSE)</f>
        <v>#N/A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226"/>
      <c r="B54" s="234" t="s">
        <v>97</v>
      </c>
      <c r="C54" s="235" t="s">
        <v>98</v>
      </c>
      <c r="D54" s="234" t="s">
        <v>41</v>
      </c>
      <c r="E54" s="234">
        <f t="shared" ref="E54:E55" si="27">ROUNDUP((0.3*0.3*0.6)/2,2)</f>
        <v>0.03</v>
      </c>
      <c r="F54" s="237"/>
      <c r="G54" s="236"/>
      <c r="H54" s="236">
        <f t="shared" si="23"/>
        <v>0</v>
      </c>
      <c r="I54" s="236">
        <f t="shared" si="24"/>
        <v>0</v>
      </c>
      <c r="J54" s="222">
        <f>ROUNDUP((11)/24,3)</f>
        <v>0.45900000000000002</v>
      </c>
      <c r="K54" s="16">
        <f t="shared" si="25"/>
        <v>0.02</v>
      </c>
      <c r="L54" s="1"/>
      <c r="M54" s="1" t="e">
        <f t="shared" si="26"/>
        <v>#N/A</v>
      </c>
      <c r="N54" s="17" t="e">
        <f>VLOOKUP(B54,[1]Plan1!$A:$G,2,FALSE)</f>
        <v>#N/A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226"/>
      <c r="B55" s="234" t="s">
        <v>81</v>
      </c>
      <c r="C55" s="235" t="s">
        <v>82</v>
      </c>
      <c r="D55" s="234" t="s">
        <v>41</v>
      </c>
      <c r="E55" s="234">
        <f t="shared" si="27"/>
        <v>0.03</v>
      </c>
      <c r="F55" s="237"/>
      <c r="G55" s="236"/>
      <c r="H55" s="236">
        <f t="shared" si="23"/>
        <v>0</v>
      </c>
      <c r="I55" s="236">
        <f t="shared" si="24"/>
        <v>0</v>
      </c>
      <c r="J55" s="222">
        <f>ROUNDUP((0.43)/24,3)</f>
        <v>1.8000000000000002E-2</v>
      </c>
      <c r="K55" s="16">
        <f t="shared" si="25"/>
        <v>0.01</v>
      </c>
      <c r="L55" s="1"/>
      <c r="M55" s="1" t="e">
        <f t="shared" si="26"/>
        <v>#N/A</v>
      </c>
      <c r="N55" s="17" t="e">
        <f>VLOOKUP(B55,[1]Plan1!$A:$G,2,FALSE)</f>
        <v>#N/A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3"/>
      <c r="B56" s="1"/>
      <c r="C56" s="9"/>
      <c r="D56" s="3"/>
      <c r="E56" s="3"/>
      <c r="F56" s="10"/>
      <c r="G56" s="10"/>
      <c r="H56" s="11"/>
      <c r="I56" s="1"/>
      <c r="J56" s="12"/>
      <c r="K56" s="1"/>
      <c r="L56" s="1"/>
      <c r="M56" s="1"/>
      <c r="N56" s="17" t="e">
        <f>VLOOKUP(B56,[1]Plan1!$A:$G,2,FALSE)</f>
        <v>#N/A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240" t="s">
        <v>99</v>
      </c>
      <c r="B57" s="223"/>
      <c r="C57" s="223" t="s">
        <v>100</v>
      </c>
      <c r="D57" s="223"/>
      <c r="E57" s="223"/>
      <c r="F57" s="223"/>
      <c r="G57" s="223"/>
      <c r="H57" s="223"/>
      <c r="I57" s="223"/>
      <c r="J57" s="239"/>
      <c r="K57" s="8"/>
      <c r="L57" s="1"/>
      <c r="M57" s="1"/>
      <c r="N57" s="17" t="e">
        <f>VLOOKUP(B57,[1]Plan1!$A:$G,2,FALSE)</f>
        <v>#N/A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.75" customHeight="1">
      <c r="A58" s="224"/>
      <c r="B58" s="224"/>
      <c r="C58" s="225"/>
      <c r="D58" s="226"/>
      <c r="E58" s="226"/>
      <c r="F58" s="227"/>
      <c r="G58" s="227"/>
      <c r="H58" s="228"/>
      <c r="I58" s="224"/>
      <c r="J58" s="220"/>
      <c r="K58" s="1"/>
      <c r="L58" s="1"/>
      <c r="M58" s="1"/>
      <c r="N58" s="17" t="e">
        <f>VLOOKUP(B58,[1]Plan1!$A:$G,2,FALSE)</f>
        <v>#N/A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229" t="s">
        <v>4</v>
      </c>
      <c r="B59" s="230" t="s">
        <v>5</v>
      </c>
      <c r="C59" s="229" t="s">
        <v>6</v>
      </c>
      <c r="D59" s="229" t="s">
        <v>7</v>
      </c>
      <c r="E59" s="229" t="s">
        <v>8</v>
      </c>
      <c r="F59" s="229" t="s">
        <v>9</v>
      </c>
      <c r="G59" s="229" t="s">
        <v>10</v>
      </c>
      <c r="H59" s="229" t="s">
        <v>11</v>
      </c>
      <c r="I59" s="229" t="s">
        <v>12</v>
      </c>
      <c r="J59" s="221"/>
      <c r="K59" s="13" t="s">
        <v>14</v>
      </c>
      <c r="L59" s="1"/>
      <c r="M59" s="1"/>
      <c r="N59" s="17" t="e">
        <f>VLOOKUP(B59,[1]Plan1!$A:$G,2,FALSE)</f>
        <v>#N/A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231" t="s">
        <v>101</v>
      </c>
      <c r="B60" s="231"/>
      <c r="C60" s="231" t="s">
        <v>102</v>
      </c>
      <c r="D60" s="232" t="s">
        <v>20</v>
      </c>
      <c r="E60" s="232">
        <v>1</v>
      </c>
      <c r="F60" s="233"/>
      <c r="G60" s="233"/>
      <c r="H60" s="233"/>
      <c r="I60" s="233">
        <f>SUM(I61)</f>
        <v>0</v>
      </c>
      <c r="J60" s="15"/>
      <c r="K60" s="14">
        <f>SUM(K61)</f>
        <v>0.03</v>
      </c>
      <c r="L60" s="1"/>
      <c r="M60" s="1"/>
      <c r="N60" s="17" t="e">
        <f>VLOOKUP(B60,[1]Plan1!$A:$G,2,FALSE)</f>
        <v>#N/A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226"/>
      <c r="B61" s="234" t="s">
        <v>103</v>
      </c>
      <c r="C61" s="235" t="s">
        <v>104</v>
      </c>
      <c r="D61" s="234" t="s">
        <v>20</v>
      </c>
      <c r="E61" s="234">
        <v>1</v>
      </c>
      <c r="F61" s="237"/>
      <c r="G61" s="236"/>
      <c r="H61" s="236">
        <f>G61+F61</f>
        <v>0</v>
      </c>
      <c r="I61" s="236">
        <f>H61*E61</f>
        <v>0</v>
      </c>
      <c r="J61" s="222">
        <f>ROUNDUP((1.1)/24/2,3)</f>
        <v>2.3E-2</v>
      </c>
      <c r="K61" s="16">
        <f>ROUNDUP(J61*E61,2)</f>
        <v>0.03</v>
      </c>
      <c r="L61" s="1"/>
      <c r="M61" s="1" t="e">
        <f>IF(N61=C61,"ok","CPOS alterada")</f>
        <v>#N/A</v>
      </c>
      <c r="N61" s="17" t="e">
        <f>VLOOKUP(B61,[1]Plan1!$A:$G,2,FALSE)</f>
        <v>#N/A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231" t="s">
        <v>105</v>
      </c>
      <c r="B62" s="231"/>
      <c r="C62" s="231" t="s">
        <v>106</v>
      </c>
      <c r="D62" s="232" t="s">
        <v>20</v>
      </c>
      <c r="E62" s="232">
        <v>1</v>
      </c>
      <c r="F62" s="233"/>
      <c r="G62" s="233"/>
      <c r="H62" s="233"/>
      <c r="I62" s="233">
        <f>SUM(I63:I65)</f>
        <v>0</v>
      </c>
      <c r="J62" s="15"/>
      <c r="K62" s="14">
        <f>ROUNDUP(SUM(K63:K65),2)</f>
        <v>0.06</v>
      </c>
      <c r="L62" s="1"/>
      <c r="M62" s="1"/>
      <c r="N62" s="17" t="e">
        <f>VLOOKUP(B62,[1]Plan1!$A:$G,2,FALSE)</f>
        <v>#N/A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226"/>
      <c r="B63" s="234" t="s">
        <v>103</v>
      </c>
      <c r="C63" s="235" t="s">
        <v>104</v>
      </c>
      <c r="D63" s="234" t="s">
        <v>20</v>
      </c>
      <c r="E63" s="234">
        <v>1</v>
      </c>
      <c r="F63" s="237"/>
      <c r="G63" s="236"/>
      <c r="H63" s="236">
        <f t="shared" ref="H63:H65" si="28">G63+F63</f>
        <v>0</v>
      </c>
      <c r="I63" s="236">
        <f t="shared" ref="I63:I65" si="29">H63*E63</f>
        <v>0</v>
      </c>
      <c r="J63" s="222">
        <f>ROUNDUP((1.1)/24/2,3)</f>
        <v>2.3E-2</v>
      </c>
      <c r="K63" s="16">
        <f t="shared" ref="K63:K65" si="30">ROUNDUP(J63*E63,2)</f>
        <v>0.03</v>
      </c>
      <c r="L63" s="1"/>
      <c r="M63" s="1" t="e">
        <f t="shared" ref="M63:M65" si="31">IF(N63=C63,"ok","CPOS alterada")</f>
        <v>#N/A</v>
      </c>
      <c r="N63" s="17" t="e">
        <f>VLOOKUP(B63,[1]Plan1!$A:$G,2,FALSE)</f>
        <v>#N/A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226"/>
      <c r="B64" s="234" t="s">
        <v>107</v>
      </c>
      <c r="C64" s="235" t="s">
        <v>108</v>
      </c>
      <c r="D64" s="234" t="s">
        <v>20</v>
      </c>
      <c r="E64" s="234">
        <v>1.08</v>
      </c>
      <c r="F64" s="237"/>
      <c r="G64" s="236"/>
      <c r="H64" s="236">
        <f t="shared" si="28"/>
        <v>0</v>
      </c>
      <c r="I64" s="236">
        <f t="shared" si="29"/>
        <v>0</v>
      </c>
      <c r="J64" s="222">
        <f>ROUNDUP((0.8)/24/2,3)</f>
        <v>1.7000000000000001E-2</v>
      </c>
      <c r="K64" s="16">
        <f t="shared" si="30"/>
        <v>0.02</v>
      </c>
      <c r="L64" s="1"/>
      <c r="M64" s="1" t="e">
        <f t="shared" si="31"/>
        <v>#N/A</v>
      </c>
      <c r="N64" s="17" t="e">
        <f>VLOOKUP(B64,[1]Plan1!$A:$G,2,FALSE)</f>
        <v>#N/A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226"/>
      <c r="B65" s="234" t="s">
        <v>109</v>
      </c>
      <c r="C65" s="235" t="s">
        <v>110</v>
      </c>
      <c r="D65" s="234" t="s">
        <v>28</v>
      </c>
      <c r="E65" s="234">
        <f>1/4</f>
        <v>0.25</v>
      </c>
      <c r="F65" s="237"/>
      <c r="G65" s="236"/>
      <c r="H65" s="236">
        <f t="shared" si="28"/>
        <v>0</v>
      </c>
      <c r="I65" s="236">
        <f t="shared" si="29"/>
        <v>0</v>
      </c>
      <c r="J65" s="222">
        <f>ROUNDUP((0.3)/24/2,3)</f>
        <v>7.0000000000000001E-3</v>
      </c>
      <c r="K65" s="16">
        <f t="shared" si="30"/>
        <v>0.01</v>
      </c>
      <c r="L65" s="1"/>
      <c r="M65" s="1" t="e">
        <f t="shared" si="31"/>
        <v>#N/A</v>
      </c>
      <c r="N65" s="17" t="e">
        <f>VLOOKUP(B65,[1]Plan1!$A:$G,2,FALSE)</f>
        <v>#N/A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231" t="s">
        <v>111</v>
      </c>
      <c r="B66" s="231"/>
      <c r="C66" s="231" t="s">
        <v>112</v>
      </c>
      <c r="D66" s="232" t="s">
        <v>20</v>
      </c>
      <c r="E66" s="232">
        <v>1</v>
      </c>
      <c r="F66" s="233"/>
      <c r="G66" s="233"/>
      <c r="H66" s="233"/>
      <c r="I66" s="233">
        <f>SUM(I67:I68)</f>
        <v>0</v>
      </c>
      <c r="J66" s="15"/>
      <c r="K66" s="14">
        <f>SUM(K67:K68)</f>
        <v>0.02</v>
      </c>
      <c r="L66" s="1"/>
      <c r="M66" s="1"/>
      <c r="N66" s="17" t="e">
        <f>VLOOKUP(B66,[1]Plan1!$A:$G,2,FALSE)</f>
        <v>#N/A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224"/>
      <c r="B67" s="234" t="s">
        <v>113</v>
      </c>
      <c r="C67" s="235" t="s">
        <v>114</v>
      </c>
      <c r="D67" s="234" t="s">
        <v>20</v>
      </c>
      <c r="E67" s="234">
        <v>1.08</v>
      </c>
      <c r="F67" s="237"/>
      <c r="G67" s="236"/>
      <c r="H67" s="236">
        <f t="shared" ref="H67:H68" si="32">G67+F67</f>
        <v>0</v>
      </c>
      <c r="I67" s="236">
        <f t="shared" ref="I67:I68" si="33">H67*E67</f>
        <v>0</v>
      </c>
      <c r="J67" s="222">
        <f>ROUNDUP((0.4)/24/2,3)</f>
        <v>9.0000000000000011E-3</v>
      </c>
      <c r="K67" s="16">
        <f t="shared" ref="K67:K68" si="34">ROUNDUP(J67*E67,2)</f>
        <v>0.01</v>
      </c>
      <c r="L67" s="1"/>
      <c r="M67" s="1" t="e">
        <f t="shared" ref="M67:M68" si="35">IF(N67=C67,"ok","CPOS alterada")</f>
        <v>#N/A</v>
      </c>
      <c r="N67" s="17" t="e">
        <f>VLOOKUP(B67,[1]Plan1!$A:$G,2,FALSE)</f>
        <v>#N/A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224"/>
      <c r="B68" s="234" t="s">
        <v>115</v>
      </c>
      <c r="C68" s="235" t="s">
        <v>116</v>
      </c>
      <c r="D68" s="234" t="s">
        <v>28</v>
      </c>
      <c r="E68" s="234">
        <f>1/4</f>
        <v>0.25</v>
      </c>
      <c r="F68" s="237"/>
      <c r="G68" s="236"/>
      <c r="H68" s="236">
        <f t="shared" si="32"/>
        <v>0</v>
      </c>
      <c r="I68" s="236">
        <f t="shared" si="33"/>
        <v>0</v>
      </c>
      <c r="J68" s="222">
        <f>ROUNDUP((0.5)/24/2,3)</f>
        <v>1.0999999999999999E-2</v>
      </c>
      <c r="K68" s="16">
        <f t="shared" si="34"/>
        <v>0.01</v>
      </c>
      <c r="L68" s="1"/>
      <c r="M68" s="1" t="e">
        <f t="shared" si="35"/>
        <v>#N/A</v>
      </c>
      <c r="N68" s="17" t="e">
        <f>VLOOKUP(B68,[1]Plan1!$A:$G,2,FALSE)</f>
        <v>#N/A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231" t="s">
        <v>117</v>
      </c>
      <c r="B69" s="231"/>
      <c r="C69" s="231" t="s">
        <v>118</v>
      </c>
      <c r="D69" s="232" t="s">
        <v>20</v>
      </c>
      <c r="E69" s="232">
        <v>1</v>
      </c>
      <c r="F69" s="233"/>
      <c r="G69" s="233"/>
      <c r="H69" s="233"/>
      <c r="I69" s="233">
        <f>SUM(I70:I72)</f>
        <v>0</v>
      </c>
      <c r="J69" s="15"/>
      <c r="K69" s="14">
        <f>ROUNDUP(SUM(K70:K72),2)</f>
        <v>0.04</v>
      </c>
      <c r="L69" s="1"/>
      <c r="M69" s="1"/>
      <c r="N69" s="17" t="e">
        <f>VLOOKUP(B69,[1]Plan1!$A:$G,2,FALSE)</f>
        <v>#N/A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224"/>
      <c r="B70" s="234" t="s">
        <v>119</v>
      </c>
      <c r="C70" s="235" t="s">
        <v>120</v>
      </c>
      <c r="D70" s="234" t="s">
        <v>20</v>
      </c>
      <c r="E70" s="234">
        <v>1</v>
      </c>
      <c r="F70" s="237"/>
      <c r="G70" s="236"/>
      <c r="H70" s="236">
        <f t="shared" ref="H70:H72" si="36">G70+F70</f>
        <v>0</v>
      </c>
      <c r="I70" s="236">
        <f t="shared" ref="I70:I72" si="37">H70*E70</f>
        <v>0</v>
      </c>
      <c r="J70" s="222">
        <f>ROUNDUP((0.9)/24/2,3)</f>
        <v>1.9E-2</v>
      </c>
      <c r="K70" s="16">
        <f t="shared" ref="K70:K72" si="38">ROUNDUP(J70*E70,2)</f>
        <v>0.02</v>
      </c>
      <c r="L70" s="1"/>
      <c r="M70" s="1" t="e">
        <f t="shared" ref="M70:M72" si="39">IF(N70=C70,"ok","CPOS alterada")</f>
        <v>#N/A</v>
      </c>
      <c r="N70" s="17" t="e">
        <f>VLOOKUP(B70,[1]Plan1!$A:$G,2,FALSE)</f>
        <v>#N/A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224"/>
      <c r="B71" s="234" t="s">
        <v>113</v>
      </c>
      <c r="C71" s="235" t="s">
        <v>114</v>
      </c>
      <c r="D71" s="234" t="s">
        <v>20</v>
      </c>
      <c r="E71" s="234">
        <v>1.08</v>
      </c>
      <c r="F71" s="237"/>
      <c r="G71" s="236"/>
      <c r="H71" s="236">
        <f t="shared" si="36"/>
        <v>0</v>
      </c>
      <c r="I71" s="236">
        <f t="shared" si="37"/>
        <v>0</v>
      </c>
      <c r="J71" s="222">
        <f>ROUNDUP((0.4)/24/2,3)</f>
        <v>9.0000000000000011E-3</v>
      </c>
      <c r="K71" s="16">
        <f t="shared" si="38"/>
        <v>0.01</v>
      </c>
      <c r="L71" s="1"/>
      <c r="M71" s="1" t="e">
        <f t="shared" si="39"/>
        <v>#N/A</v>
      </c>
      <c r="N71" s="17" t="e">
        <f>VLOOKUP(B71,[1]Plan1!$A:$G,2,FALSE)</f>
        <v>#N/A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224"/>
      <c r="B72" s="234" t="s">
        <v>115</v>
      </c>
      <c r="C72" s="235" t="s">
        <v>116</v>
      </c>
      <c r="D72" s="234" t="s">
        <v>28</v>
      </c>
      <c r="E72" s="234">
        <f>1/4</f>
        <v>0.25</v>
      </c>
      <c r="F72" s="237"/>
      <c r="G72" s="236"/>
      <c r="H72" s="236">
        <f t="shared" si="36"/>
        <v>0</v>
      </c>
      <c r="I72" s="236">
        <f t="shared" si="37"/>
        <v>0</v>
      </c>
      <c r="J72" s="222">
        <f>ROUNDUP((0.5)/24/2,3)</f>
        <v>1.0999999999999999E-2</v>
      </c>
      <c r="K72" s="16">
        <f t="shared" si="38"/>
        <v>0.01</v>
      </c>
      <c r="L72" s="1"/>
      <c r="M72" s="1" t="e">
        <f t="shared" si="39"/>
        <v>#N/A</v>
      </c>
      <c r="N72" s="17" t="e">
        <f>VLOOKUP(B72,[1]Plan1!$A:$G,2,FALSE)</f>
        <v>#N/A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231" t="s">
        <v>121</v>
      </c>
      <c r="B73" s="231"/>
      <c r="C73" s="231" t="s">
        <v>122</v>
      </c>
      <c r="D73" s="232" t="s">
        <v>20</v>
      </c>
      <c r="E73" s="232">
        <v>1</v>
      </c>
      <c r="F73" s="233"/>
      <c r="G73" s="233"/>
      <c r="H73" s="233"/>
      <c r="I73" s="233">
        <f>SUM(I74:I76)</f>
        <v>0</v>
      </c>
      <c r="J73" s="15"/>
      <c r="K73" s="14">
        <f>ROUNDUP(SUM(K74:K76),2)</f>
        <v>0.09</v>
      </c>
      <c r="L73" s="1"/>
      <c r="M73" s="1"/>
      <c r="N73" s="17" t="e">
        <f>VLOOKUP(B73,[1]Plan1!$A:$G,2,FALSE)</f>
        <v>#N/A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224"/>
      <c r="B74" s="234" t="s">
        <v>123</v>
      </c>
      <c r="C74" s="235" t="s">
        <v>124</v>
      </c>
      <c r="D74" s="234" t="s">
        <v>20</v>
      </c>
      <c r="E74" s="234">
        <v>1</v>
      </c>
      <c r="F74" s="237"/>
      <c r="G74" s="236"/>
      <c r="H74" s="236">
        <f t="shared" ref="H74:H76" si="40">G74+F74</f>
        <v>0</v>
      </c>
      <c r="I74" s="236">
        <f t="shared" ref="I74:I76" si="41">H74*E74</f>
        <v>0</v>
      </c>
      <c r="J74" s="222">
        <f>ROUNDUP((1.5)/24,3)</f>
        <v>6.3E-2</v>
      </c>
      <c r="K74" s="16">
        <f t="shared" ref="K74:K76" si="42">ROUNDUP(J74*E74,2)</f>
        <v>6.9999999999999993E-2</v>
      </c>
      <c r="L74" s="1"/>
      <c r="M74" s="1" t="e">
        <f t="shared" ref="M74:M76" si="43">IF(N74=C74,"ok","CPOS alterada")</f>
        <v>#N/A</v>
      </c>
      <c r="N74" s="17" t="e">
        <f>VLOOKUP(B74,[1]Plan1!$A:$G,2,FALSE)</f>
        <v>#N/A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224"/>
      <c r="B75" s="234" t="s">
        <v>125</v>
      </c>
      <c r="C75" s="235" t="s">
        <v>126</v>
      </c>
      <c r="D75" s="234" t="s">
        <v>25</v>
      </c>
      <c r="E75" s="234">
        <f>1/4</f>
        <v>0.25</v>
      </c>
      <c r="F75" s="237"/>
      <c r="G75" s="236"/>
      <c r="H75" s="236">
        <f t="shared" si="40"/>
        <v>0</v>
      </c>
      <c r="I75" s="236">
        <f t="shared" si="41"/>
        <v>0</v>
      </c>
      <c r="J75" s="222">
        <f>ROUNDUP((0.8)/24,3)</f>
        <v>3.4000000000000002E-2</v>
      </c>
      <c r="K75" s="16">
        <f t="shared" si="42"/>
        <v>0.01</v>
      </c>
      <c r="L75" s="1"/>
      <c r="M75" s="1" t="e">
        <f t="shared" si="43"/>
        <v>#N/A</v>
      </c>
      <c r="N75" s="17" t="e">
        <f>VLOOKUP(B75,[1]Plan1!$A:$G,2,FALSE)</f>
        <v>#N/A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224"/>
      <c r="B76" s="234" t="s">
        <v>127</v>
      </c>
      <c r="C76" s="235" t="s">
        <v>128</v>
      </c>
      <c r="D76" s="234" t="s">
        <v>28</v>
      </c>
      <c r="E76" s="234">
        <f>ROUNDUP(3/4,2)</f>
        <v>0.75</v>
      </c>
      <c r="F76" s="237"/>
      <c r="G76" s="236"/>
      <c r="H76" s="236">
        <f t="shared" si="40"/>
        <v>0</v>
      </c>
      <c r="I76" s="236">
        <f t="shared" si="41"/>
        <v>0</v>
      </c>
      <c r="J76" s="222">
        <f>ROUNDUP((0.12)/24,3)</f>
        <v>5.0000000000000001E-3</v>
      </c>
      <c r="K76" s="16">
        <f t="shared" si="42"/>
        <v>0.01</v>
      </c>
      <c r="L76" s="1"/>
      <c r="M76" s="1" t="e">
        <f t="shared" si="43"/>
        <v>#N/A</v>
      </c>
      <c r="N76" s="17" t="e">
        <f>VLOOKUP(B76,[1]Plan1!$A:$G,2,FALSE)</f>
        <v>#N/A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231" t="s">
        <v>129</v>
      </c>
      <c r="B77" s="231"/>
      <c r="C77" s="231" t="s">
        <v>130</v>
      </c>
      <c r="D77" s="232" t="s">
        <v>20</v>
      </c>
      <c r="E77" s="232">
        <v>1</v>
      </c>
      <c r="F77" s="233"/>
      <c r="G77" s="233"/>
      <c r="H77" s="233"/>
      <c r="I77" s="233">
        <f>SUM(I78:I80)</f>
        <v>0</v>
      </c>
      <c r="J77" s="15"/>
      <c r="K77" s="14">
        <f>ROUNDUP(SUM(K78:K80),2)</f>
        <v>0.04</v>
      </c>
      <c r="L77" s="1"/>
      <c r="M77" s="1"/>
      <c r="N77" s="17" t="e">
        <f>VLOOKUP(B77,[1]Plan1!$A:$G,2,FALSE)</f>
        <v>#N/A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224"/>
      <c r="B78" s="234" t="s">
        <v>131</v>
      </c>
      <c r="C78" s="235" t="s">
        <v>132</v>
      </c>
      <c r="D78" s="234" t="s">
        <v>20</v>
      </c>
      <c r="E78" s="234">
        <v>1.08</v>
      </c>
      <c r="F78" s="237"/>
      <c r="G78" s="236"/>
      <c r="H78" s="236">
        <f t="shared" ref="H78:H80" si="44">G78+F78</f>
        <v>0</v>
      </c>
      <c r="I78" s="236">
        <f t="shared" ref="I78:I80" si="45">H78*E78</f>
        <v>0</v>
      </c>
      <c r="J78" s="222">
        <f>ROUNDUP((0.3)/24,3)</f>
        <v>1.3000000000000001E-2</v>
      </c>
      <c r="K78" s="16">
        <f t="shared" ref="K78:K80" si="46">ROUNDUP(J78*E78,2)</f>
        <v>0.02</v>
      </c>
      <c r="L78" s="1"/>
      <c r="M78" s="1" t="e">
        <f t="shared" ref="M78:M80" si="47">IF(N78=C78,"ok","CPOS alterada")</f>
        <v>#N/A</v>
      </c>
      <c r="N78" s="17" t="e">
        <f>VLOOKUP(B78,[1]Plan1!$A:$G,2,FALSE)</f>
        <v>#N/A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224"/>
      <c r="B79" s="234" t="s">
        <v>125</v>
      </c>
      <c r="C79" s="235" t="s">
        <v>126</v>
      </c>
      <c r="D79" s="234" t="s">
        <v>25</v>
      </c>
      <c r="E79" s="234">
        <f>1/4</f>
        <v>0.25</v>
      </c>
      <c r="F79" s="237"/>
      <c r="G79" s="236"/>
      <c r="H79" s="236">
        <f t="shared" si="44"/>
        <v>0</v>
      </c>
      <c r="I79" s="236">
        <f t="shared" si="45"/>
        <v>0</v>
      </c>
      <c r="J79" s="222">
        <f>ROUNDUP((0.8)/24,3)</f>
        <v>3.4000000000000002E-2</v>
      </c>
      <c r="K79" s="16">
        <f t="shared" si="46"/>
        <v>0.01</v>
      </c>
      <c r="L79" s="1"/>
      <c r="M79" s="1" t="e">
        <f t="shared" si="47"/>
        <v>#N/A</v>
      </c>
      <c r="N79" s="17" t="e">
        <f>VLOOKUP(B79,[1]Plan1!$A:$G,2,FALSE)</f>
        <v>#N/A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224"/>
      <c r="B80" s="234" t="s">
        <v>127</v>
      </c>
      <c r="C80" s="235" t="s">
        <v>128</v>
      </c>
      <c r="D80" s="234" t="s">
        <v>28</v>
      </c>
      <c r="E80" s="234">
        <f>ROUNDUP(3/4,2)</f>
        <v>0.75</v>
      </c>
      <c r="F80" s="237"/>
      <c r="G80" s="236"/>
      <c r="H80" s="236">
        <f t="shared" si="44"/>
        <v>0</v>
      </c>
      <c r="I80" s="236">
        <f t="shared" si="45"/>
        <v>0</v>
      </c>
      <c r="J80" s="222">
        <f>ROUNDUP((0.12)/24,3)</f>
        <v>5.0000000000000001E-3</v>
      </c>
      <c r="K80" s="16">
        <f t="shared" si="46"/>
        <v>0.01</v>
      </c>
      <c r="L80" s="1"/>
      <c r="M80" s="1" t="e">
        <f t="shared" si="47"/>
        <v>#N/A</v>
      </c>
      <c r="N80" s="17" t="e">
        <f>VLOOKUP(B80,[1]Plan1!$A:$G,2,FALSE)</f>
        <v>#N/A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20"/>
      <c r="D81" s="3"/>
      <c r="E81" s="3"/>
      <c r="F81" s="10"/>
      <c r="G81" s="10"/>
      <c r="H81" s="10"/>
      <c r="I81" s="1"/>
      <c r="J81" s="12"/>
      <c r="K81" s="1"/>
      <c r="L81" s="1"/>
      <c r="M81" s="1"/>
      <c r="N81" s="17" t="e">
        <f>VLOOKUP(B81,[1]Plan1!$A:$G,2,FALSE)</f>
        <v>#N/A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223" t="s">
        <v>133</v>
      </c>
      <c r="B82" s="223"/>
      <c r="C82" s="223" t="s">
        <v>134</v>
      </c>
      <c r="D82" s="223"/>
      <c r="E82" s="223"/>
      <c r="F82" s="223"/>
      <c r="G82" s="223"/>
      <c r="H82" s="223"/>
      <c r="I82" s="223"/>
      <c r="J82" s="219"/>
      <c r="K82" s="21"/>
      <c r="L82" s="1"/>
      <c r="M82" s="1"/>
      <c r="N82" s="17" t="e">
        <f>VLOOKUP(B82,[1]Plan1!$A:$G,2,FALSE)</f>
        <v>#N/A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" customHeight="1">
      <c r="A83" s="224"/>
      <c r="B83" s="224"/>
      <c r="C83" s="225"/>
      <c r="D83" s="226"/>
      <c r="E83" s="226"/>
      <c r="F83" s="227"/>
      <c r="G83" s="227"/>
      <c r="H83" s="228"/>
      <c r="I83" s="224"/>
      <c r="J83" s="220"/>
      <c r="K83" s="1"/>
      <c r="L83" s="1"/>
      <c r="M83" s="1"/>
      <c r="N83" s="17" t="e">
        <f>VLOOKUP(B83,[1]Plan1!$A:$G,2,FALSE)</f>
        <v>#N/A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229" t="s">
        <v>4</v>
      </c>
      <c r="B84" s="230" t="s">
        <v>5</v>
      </c>
      <c r="C84" s="229" t="s">
        <v>6</v>
      </c>
      <c r="D84" s="229" t="s">
        <v>7</v>
      </c>
      <c r="E84" s="229" t="s">
        <v>8</v>
      </c>
      <c r="F84" s="229" t="s">
        <v>9</v>
      </c>
      <c r="G84" s="229" t="s">
        <v>10</v>
      </c>
      <c r="H84" s="229" t="s">
        <v>11</v>
      </c>
      <c r="I84" s="229" t="s">
        <v>12</v>
      </c>
      <c r="J84" s="221"/>
      <c r="K84" s="13" t="s">
        <v>14</v>
      </c>
      <c r="L84" s="1"/>
      <c r="M84" s="1"/>
      <c r="N84" s="17" t="e">
        <f>VLOOKUP(B84,[1]Plan1!$A:$G,2,FALSE)</f>
        <v>#N/A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231" t="s">
        <v>135</v>
      </c>
      <c r="B85" s="231"/>
      <c r="C85" s="231" t="s">
        <v>136</v>
      </c>
      <c r="D85" s="232" t="s">
        <v>20</v>
      </c>
      <c r="E85" s="232"/>
      <c r="F85" s="233"/>
      <c r="G85" s="233"/>
      <c r="H85" s="233"/>
      <c r="I85" s="233">
        <f>SUM(I86:I91)</f>
        <v>0</v>
      </c>
      <c r="J85" s="15"/>
      <c r="K85" s="14">
        <f>SUM(K86:K91)</f>
        <v>0.15000000000000002</v>
      </c>
      <c r="L85" s="1"/>
      <c r="M85" s="1"/>
      <c r="N85" s="17" t="e">
        <f>VLOOKUP(B85,[1]Plan1!$A:$G,2,FALSE)</f>
        <v>#N/A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226"/>
      <c r="B86" s="234" t="s">
        <v>91</v>
      </c>
      <c r="C86" s="235" t="s">
        <v>92</v>
      </c>
      <c r="D86" s="234" t="s">
        <v>41</v>
      </c>
      <c r="E86" s="238">
        <f>ROUNDUP((0.2*(3*4)*3)/9,2)</f>
        <v>0.8</v>
      </c>
      <c r="F86" s="237"/>
      <c r="G86" s="236"/>
      <c r="H86" s="236">
        <f t="shared" ref="H86:H91" si="48">G86+F86</f>
        <v>0</v>
      </c>
      <c r="I86" s="236">
        <f t="shared" ref="I86:I91" si="49">H86*E86</f>
        <v>0</v>
      </c>
      <c r="J86" s="222">
        <f>ROUNDUP((4)/24/2,3)</f>
        <v>8.4000000000000005E-2</v>
      </c>
      <c r="K86" s="16">
        <f t="shared" ref="K86:K91" si="50">ROUNDUP(J86*E86,2)</f>
        <v>6.9999999999999993E-2</v>
      </c>
      <c r="L86" s="1"/>
      <c r="M86" s="1" t="e">
        <f t="shared" ref="M86:M91" si="51">IF(N86=C86,"ok","CPOS alterada")</f>
        <v>#N/A</v>
      </c>
      <c r="N86" s="17" t="e">
        <f>VLOOKUP(B86,[1]Plan1!$A:$G,2,FALSE)</f>
        <v>#N/A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226"/>
      <c r="B87" s="234" t="s">
        <v>71</v>
      </c>
      <c r="C87" s="235" t="s">
        <v>72</v>
      </c>
      <c r="D87" s="234" t="s">
        <v>41</v>
      </c>
      <c r="E87" s="234">
        <f>ROUNDUP((3*0.15*0.15)*4/9,2)</f>
        <v>0.03</v>
      </c>
      <c r="F87" s="237"/>
      <c r="G87" s="236"/>
      <c r="H87" s="236">
        <f t="shared" si="48"/>
        <v>0</v>
      </c>
      <c r="I87" s="236">
        <f t="shared" si="49"/>
        <v>0</v>
      </c>
      <c r="J87" s="222">
        <f>ROUNDUP((20)/24/2,3)</f>
        <v>0.41699999999999998</v>
      </c>
      <c r="K87" s="16">
        <f t="shared" si="50"/>
        <v>0.02</v>
      </c>
      <c r="L87" s="1"/>
      <c r="M87" s="1" t="e">
        <f t="shared" si="51"/>
        <v>#N/A</v>
      </c>
      <c r="N87" s="17" t="e">
        <f>VLOOKUP(B87,[1]Plan1!$A:$G,2,FALSE)</f>
        <v>#N/A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226"/>
      <c r="B88" s="234" t="s">
        <v>137</v>
      </c>
      <c r="C88" s="235" t="s">
        <v>138</v>
      </c>
      <c r="D88" s="234" t="s">
        <v>25</v>
      </c>
      <c r="E88" s="234">
        <f t="shared" ref="E88:E89" si="52">ROUNDUP(4/9,2)</f>
        <v>0.45</v>
      </c>
      <c r="F88" s="237"/>
      <c r="G88" s="236"/>
      <c r="H88" s="236">
        <f t="shared" si="48"/>
        <v>0</v>
      </c>
      <c r="I88" s="236">
        <f t="shared" si="49"/>
        <v>0</v>
      </c>
      <c r="J88" s="222">
        <f>ROUNDUP((0.75)/24,3)</f>
        <v>3.2000000000000001E-2</v>
      </c>
      <c r="K88" s="16">
        <f t="shared" si="50"/>
        <v>0.02</v>
      </c>
      <c r="L88" s="1"/>
      <c r="M88" s="1" t="e">
        <f t="shared" si="51"/>
        <v>#N/A</v>
      </c>
      <c r="N88" s="17" t="e">
        <f>VLOOKUP(B88,[1]Plan1!$A:$G,2,FALSE)</f>
        <v>#N/A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226"/>
      <c r="B89" s="234" t="s">
        <v>139</v>
      </c>
      <c r="C89" s="235" t="s">
        <v>140</v>
      </c>
      <c r="D89" s="234" t="s">
        <v>25</v>
      </c>
      <c r="E89" s="234">
        <f t="shared" si="52"/>
        <v>0.45</v>
      </c>
      <c r="F89" s="237"/>
      <c r="G89" s="236"/>
      <c r="H89" s="236">
        <f t="shared" si="48"/>
        <v>0</v>
      </c>
      <c r="I89" s="236">
        <f t="shared" si="49"/>
        <v>0</v>
      </c>
      <c r="J89" s="222">
        <f>ROUNDUP((0.8)/24,3)</f>
        <v>3.4000000000000002E-2</v>
      </c>
      <c r="K89" s="16">
        <f t="shared" si="50"/>
        <v>0.02</v>
      </c>
      <c r="L89" s="1"/>
      <c r="M89" s="1" t="e">
        <f t="shared" si="51"/>
        <v>#N/A</v>
      </c>
      <c r="N89" s="17" t="e">
        <f>VLOOKUP(B89,[1]Plan1!$A:$G,2,FALSE)</f>
        <v>#N/A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226"/>
      <c r="B90" s="234" t="s">
        <v>127</v>
      </c>
      <c r="C90" s="235" t="s">
        <v>128</v>
      </c>
      <c r="D90" s="234" t="s">
        <v>28</v>
      </c>
      <c r="E90" s="234">
        <f>ROUNDUP((3*2.6)/9,2)</f>
        <v>0.87</v>
      </c>
      <c r="F90" s="237"/>
      <c r="G90" s="236"/>
      <c r="H90" s="236">
        <f t="shared" si="48"/>
        <v>0</v>
      </c>
      <c r="I90" s="236">
        <f t="shared" si="49"/>
        <v>0</v>
      </c>
      <c r="J90" s="222">
        <f>ROUNDUP((0.12)/24,3)</f>
        <v>5.0000000000000001E-3</v>
      </c>
      <c r="K90" s="16">
        <f t="shared" si="50"/>
        <v>0.01</v>
      </c>
      <c r="L90" s="1"/>
      <c r="M90" s="1" t="e">
        <f t="shared" si="51"/>
        <v>#N/A</v>
      </c>
      <c r="N90" s="17" t="e">
        <f>VLOOKUP(B90,[1]Plan1!$A:$G,2,FALSE)</f>
        <v>#N/A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226"/>
      <c r="B91" s="234" t="s">
        <v>141</v>
      </c>
      <c r="C91" s="235" t="s">
        <v>142</v>
      </c>
      <c r="D91" s="234" t="s">
        <v>20</v>
      </c>
      <c r="E91" s="234">
        <f>ROUNDUP(1/100,2)</f>
        <v>0.01</v>
      </c>
      <c r="F91" s="237"/>
      <c r="G91" s="236"/>
      <c r="H91" s="236">
        <f t="shared" si="48"/>
        <v>0</v>
      </c>
      <c r="I91" s="236">
        <f t="shared" si="49"/>
        <v>0</v>
      </c>
      <c r="J91" s="222">
        <f>ROUNDUP((4)/24,3)</f>
        <v>0.16700000000000001</v>
      </c>
      <c r="K91" s="16">
        <f t="shared" si="50"/>
        <v>0.01</v>
      </c>
      <c r="L91" s="1"/>
      <c r="M91" s="1" t="e">
        <f t="shared" si="51"/>
        <v>#N/A</v>
      </c>
      <c r="N91" s="17" t="e">
        <f>VLOOKUP(B91,[1]Plan1!$A:$G,2,FALSE)</f>
        <v>#N/A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231" t="s">
        <v>143</v>
      </c>
      <c r="B92" s="231"/>
      <c r="C92" s="231" t="s">
        <v>144</v>
      </c>
      <c r="D92" s="232" t="s">
        <v>20</v>
      </c>
      <c r="E92" s="232"/>
      <c r="F92" s="233"/>
      <c r="G92" s="233"/>
      <c r="H92" s="233"/>
      <c r="I92" s="233">
        <f>SUM(I93:I97)</f>
        <v>0</v>
      </c>
      <c r="J92" s="15"/>
      <c r="K92" s="14">
        <f>SUM(K93:K97)</f>
        <v>0.15000000000000002</v>
      </c>
      <c r="L92" s="1"/>
      <c r="M92" s="1"/>
      <c r="N92" s="17" t="e">
        <f>VLOOKUP(B92,[1]Plan1!$A:$G,2,FALSE)</f>
        <v>#N/A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224"/>
      <c r="B93" s="234" t="s">
        <v>51</v>
      </c>
      <c r="C93" s="235" t="s">
        <v>52</v>
      </c>
      <c r="D93" s="234" t="s">
        <v>20</v>
      </c>
      <c r="E93" s="234">
        <v>1</v>
      </c>
      <c r="F93" s="236"/>
      <c r="G93" s="236"/>
      <c r="H93" s="236">
        <f t="shared" ref="H93:H97" si="53">G93+F93</f>
        <v>0</v>
      </c>
      <c r="I93" s="236">
        <f t="shared" ref="I93:I97" si="54">H93*E93</f>
        <v>0</v>
      </c>
      <c r="J93" s="222">
        <f>ROUNDUP((0.65*3+0.13)/24,3)</f>
        <v>8.6999999999999994E-2</v>
      </c>
      <c r="K93" s="16">
        <f t="shared" ref="K93:K97" si="55">ROUNDUP(J93*E93,2)</f>
        <v>0.09</v>
      </c>
      <c r="L93" s="1"/>
      <c r="M93" s="1" t="e">
        <f t="shared" ref="M93:M97" si="56">IF(N93=C93,"ok","CPOS alterada")</f>
        <v>#N/A</v>
      </c>
      <c r="N93" s="17" t="e">
        <f>VLOOKUP(B93,[1]Plan1!$A:$G,2,FALSE)</f>
        <v>#N/A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224"/>
      <c r="B94" s="234" t="s">
        <v>137</v>
      </c>
      <c r="C94" s="235" t="s">
        <v>138</v>
      </c>
      <c r="D94" s="234" t="s">
        <v>25</v>
      </c>
      <c r="E94" s="234">
        <f t="shared" ref="E94:E95" si="57">ROUNDUP(4/9,2)</f>
        <v>0.45</v>
      </c>
      <c r="F94" s="236"/>
      <c r="G94" s="236"/>
      <c r="H94" s="236">
        <f t="shared" si="53"/>
        <v>0</v>
      </c>
      <c r="I94" s="236">
        <f t="shared" si="54"/>
        <v>0</v>
      </c>
      <c r="J94" s="222">
        <f>ROUNDUP((0.75)/24,3)</f>
        <v>3.2000000000000001E-2</v>
      </c>
      <c r="K94" s="16">
        <f t="shared" si="55"/>
        <v>0.02</v>
      </c>
      <c r="L94" s="1"/>
      <c r="M94" s="1" t="e">
        <f t="shared" si="56"/>
        <v>#N/A</v>
      </c>
      <c r="N94" s="17" t="e">
        <f>VLOOKUP(B94,[1]Plan1!$A:$G,2,FALSE)</f>
        <v>#N/A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224"/>
      <c r="B95" s="234" t="s">
        <v>139</v>
      </c>
      <c r="C95" s="235" t="s">
        <v>140</v>
      </c>
      <c r="D95" s="234" t="s">
        <v>25</v>
      </c>
      <c r="E95" s="234">
        <f t="shared" si="57"/>
        <v>0.45</v>
      </c>
      <c r="F95" s="236"/>
      <c r="G95" s="236"/>
      <c r="H95" s="236">
        <f t="shared" si="53"/>
        <v>0</v>
      </c>
      <c r="I95" s="236">
        <f t="shared" si="54"/>
        <v>0</v>
      </c>
      <c r="J95" s="222">
        <f>ROUNDUP((0.8)/24,3)</f>
        <v>3.4000000000000002E-2</v>
      </c>
      <c r="K95" s="16">
        <f t="shared" si="55"/>
        <v>0.02</v>
      </c>
      <c r="L95" s="1"/>
      <c r="M95" s="1" t="e">
        <f t="shared" si="56"/>
        <v>#N/A</v>
      </c>
      <c r="N95" s="17" t="e">
        <f>VLOOKUP(B95,[1]Plan1!$A:$G,2,FALSE)</f>
        <v>#N/A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224"/>
      <c r="B96" s="234" t="s">
        <v>127</v>
      </c>
      <c r="C96" s="235" t="s">
        <v>128</v>
      </c>
      <c r="D96" s="234" t="s">
        <v>28</v>
      </c>
      <c r="E96" s="234">
        <f>ROUNDUP((3*2.6)/9,2)</f>
        <v>0.87</v>
      </c>
      <c r="F96" s="236"/>
      <c r="G96" s="236"/>
      <c r="H96" s="236">
        <f t="shared" si="53"/>
        <v>0</v>
      </c>
      <c r="I96" s="236">
        <f t="shared" si="54"/>
        <v>0</v>
      </c>
      <c r="J96" s="222">
        <f>ROUNDUP((0.12)/24,3)</f>
        <v>5.0000000000000001E-3</v>
      </c>
      <c r="K96" s="16">
        <f t="shared" si="55"/>
        <v>0.01</v>
      </c>
      <c r="L96" s="1"/>
      <c r="M96" s="1" t="e">
        <f t="shared" si="56"/>
        <v>#N/A</v>
      </c>
      <c r="N96" s="17" t="e">
        <f>VLOOKUP(B96,[1]Plan1!$A:$G,2,FALSE)</f>
        <v>#N/A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224"/>
      <c r="B97" s="234" t="s">
        <v>141</v>
      </c>
      <c r="C97" s="235" t="s">
        <v>142</v>
      </c>
      <c r="D97" s="234" t="s">
        <v>20</v>
      </c>
      <c r="E97" s="234">
        <f>ROUNDUP(1/100,2)</f>
        <v>0.01</v>
      </c>
      <c r="F97" s="236"/>
      <c r="G97" s="236"/>
      <c r="H97" s="236">
        <f t="shared" si="53"/>
        <v>0</v>
      </c>
      <c r="I97" s="236">
        <f t="shared" si="54"/>
        <v>0</v>
      </c>
      <c r="J97" s="222">
        <f>ROUNDUP((4)/24,3)</f>
        <v>0.16700000000000001</v>
      </c>
      <c r="K97" s="16">
        <f t="shared" si="55"/>
        <v>0.01</v>
      </c>
      <c r="L97" s="1"/>
      <c r="M97" s="1" t="e">
        <f t="shared" si="56"/>
        <v>#N/A</v>
      </c>
      <c r="N97" s="17" t="e">
        <f>VLOOKUP(B97,[1]Plan1!$A:$G,2,FALSE)</f>
        <v>#N/A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231" t="s">
        <v>145</v>
      </c>
      <c r="B98" s="231"/>
      <c r="C98" s="231" t="s">
        <v>146</v>
      </c>
      <c r="D98" s="232" t="s">
        <v>20</v>
      </c>
      <c r="E98" s="232"/>
      <c r="F98" s="233"/>
      <c r="G98" s="233"/>
      <c r="H98" s="233"/>
      <c r="I98" s="233">
        <f>SUM(I99:I105)</f>
        <v>0</v>
      </c>
      <c r="J98" s="15"/>
      <c r="K98" s="14">
        <f>SUM(K99:K105)</f>
        <v>0.35000000000000009</v>
      </c>
      <c r="L98" s="1"/>
      <c r="M98" s="1"/>
      <c r="N98" s="17" t="e">
        <f>VLOOKUP(B98,[1]Plan1!$A:$G,2,FALSE)</f>
        <v>#N/A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224"/>
      <c r="B99" s="234" t="s">
        <v>147</v>
      </c>
      <c r="C99" s="235" t="s">
        <v>148</v>
      </c>
      <c r="D99" s="234" t="s">
        <v>20</v>
      </c>
      <c r="E99" s="234">
        <f>ROUNDUP(((4*3)*3)/9,1)</f>
        <v>4</v>
      </c>
      <c r="F99" s="236"/>
      <c r="G99" s="236"/>
      <c r="H99" s="236">
        <f t="shared" ref="H99:H105" si="58">G99+F99</f>
        <v>0</v>
      </c>
      <c r="I99" s="236">
        <f t="shared" ref="I99:I105" si="59">H99*E99</f>
        <v>0</v>
      </c>
      <c r="J99" s="222">
        <f>ROUNDUP((2.75)/24/2,3)</f>
        <v>5.8000000000000003E-2</v>
      </c>
      <c r="K99" s="16">
        <f t="shared" ref="K99:K105" si="60">ROUNDUP(J99*E99,2)</f>
        <v>0.24000000000000002</v>
      </c>
      <c r="L99" s="1"/>
      <c r="M99" s="1" t="e">
        <f t="shared" ref="M99:M105" si="61">IF(N99=C99,"ok","CPOS alterada")</f>
        <v>#N/A</v>
      </c>
      <c r="N99" s="17" t="e">
        <f>VLOOKUP(B99,[1]Plan1!$A:$G,2,FALSE)</f>
        <v>#N/A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224"/>
      <c r="B100" s="234" t="s">
        <v>149</v>
      </c>
      <c r="C100" s="235" t="s">
        <v>150</v>
      </c>
      <c r="D100" s="234" t="s">
        <v>25</v>
      </c>
      <c r="E100" s="234">
        <f>ROUNDUP(12/9,2)</f>
        <v>1.34</v>
      </c>
      <c r="F100" s="236"/>
      <c r="G100" s="236"/>
      <c r="H100" s="236">
        <f t="shared" si="58"/>
        <v>0</v>
      </c>
      <c r="I100" s="236">
        <f t="shared" si="59"/>
        <v>0</v>
      </c>
      <c r="J100" s="222">
        <f>ROUNDUP((1.3)/24/2,3)</f>
        <v>2.8000000000000001E-2</v>
      </c>
      <c r="K100" s="16">
        <f t="shared" si="60"/>
        <v>0.04</v>
      </c>
      <c r="L100" s="1"/>
      <c r="M100" s="1" t="e">
        <f t="shared" si="61"/>
        <v>#N/A</v>
      </c>
      <c r="N100" s="17" t="e">
        <f>VLOOKUP(B100,[1]Plan1!$A:$G,2,FALSE)</f>
        <v>#N/A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224"/>
      <c r="B101" s="234" t="s">
        <v>151</v>
      </c>
      <c r="C101" s="235" t="s">
        <v>152</v>
      </c>
      <c r="D101" s="234" t="s">
        <v>20</v>
      </c>
      <c r="E101" s="234">
        <f>ROUNDUP(3*3*4/9,2)</f>
        <v>4</v>
      </c>
      <c r="F101" s="236"/>
      <c r="G101" s="236"/>
      <c r="H101" s="236">
        <f t="shared" si="58"/>
        <v>0</v>
      </c>
      <c r="I101" s="236">
        <f t="shared" si="59"/>
        <v>0</v>
      </c>
      <c r="J101" s="222">
        <f>ROUNDUP((0.05)/24/2,3)</f>
        <v>2E-3</v>
      </c>
      <c r="K101" s="16">
        <f t="shared" si="60"/>
        <v>0.01</v>
      </c>
      <c r="L101" s="1"/>
      <c r="M101" s="1" t="e">
        <f t="shared" si="61"/>
        <v>#N/A</v>
      </c>
      <c r="N101" s="17" t="e">
        <f>VLOOKUP(B101,[1]Plan1!$A:$G,2,FALSE)</f>
        <v>#N/A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224"/>
      <c r="B102" s="234" t="s">
        <v>137</v>
      </c>
      <c r="C102" s="235" t="s">
        <v>138</v>
      </c>
      <c r="D102" s="234" t="s">
        <v>25</v>
      </c>
      <c r="E102" s="234">
        <f t="shared" ref="E102:E103" si="62">ROUNDUP(4/9,2)</f>
        <v>0.45</v>
      </c>
      <c r="F102" s="236"/>
      <c r="G102" s="236"/>
      <c r="H102" s="236">
        <f t="shared" si="58"/>
        <v>0</v>
      </c>
      <c r="I102" s="236">
        <f t="shared" si="59"/>
        <v>0</v>
      </c>
      <c r="J102" s="222">
        <f>ROUNDUP((0.75)/24,3)</f>
        <v>3.2000000000000001E-2</v>
      </c>
      <c r="K102" s="16">
        <f t="shared" si="60"/>
        <v>0.02</v>
      </c>
      <c r="L102" s="1"/>
      <c r="M102" s="1" t="e">
        <f t="shared" si="61"/>
        <v>#N/A</v>
      </c>
      <c r="N102" s="17" t="e">
        <f>VLOOKUP(B102,[1]Plan1!$A:$G,2,FALSE)</f>
        <v>#N/A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224"/>
      <c r="B103" s="234" t="s">
        <v>139</v>
      </c>
      <c r="C103" s="235" t="s">
        <v>140</v>
      </c>
      <c r="D103" s="234" t="s">
        <v>25</v>
      </c>
      <c r="E103" s="234">
        <f t="shared" si="62"/>
        <v>0.45</v>
      </c>
      <c r="F103" s="236"/>
      <c r="G103" s="236"/>
      <c r="H103" s="236">
        <f t="shared" si="58"/>
        <v>0</v>
      </c>
      <c r="I103" s="236">
        <f t="shared" si="59"/>
        <v>0</v>
      </c>
      <c r="J103" s="222">
        <f>ROUNDUP((0.8)/24,3)</f>
        <v>3.4000000000000002E-2</v>
      </c>
      <c r="K103" s="16">
        <f t="shared" si="60"/>
        <v>0.02</v>
      </c>
      <c r="L103" s="1"/>
      <c r="M103" s="1" t="e">
        <f t="shared" si="61"/>
        <v>#N/A</v>
      </c>
      <c r="N103" s="17" t="e">
        <f>VLOOKUP(B103,[1]Plan1!$A:$G,2,FALSE)</f>
        <v>#N/A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224"/>
      <c r="B104" s="234" t="s">
        <v>127</v>
      </c>
      <c r="C104" s="235" t="s">
        <v>128</v>
      </c>
      <c r="D104" s="234" t="s">
        <v>28</v>
      </c>
      <c r="E104" s="234">
        <f>ROUNDUP((3*2.6)/9,2)</f>
        <v>0.87</v>
      </c>
      <c r="F104" s="236"/>
      <c r="G104" s="236"/>
      <c r="H104" s="236">
        <f t="shared" si="58"/>
        <v>0</v>
      </c>
      <c r="I104" s="236">
        <f t="shared" si="59"/>
        <v>0</v>
      </c>
      <c r="J104" s="222">
        <f>ROUNDUP((0.12)/24,3)</f>
        <v>5.0000000000000001E-3</v>
      </c>
      <c r="K104" s="16">
        <f t="shared" si="60"/>
        <v>0.01</v>
      </c>
      <c r="L104" s="1"/>
      <c r="M104" s="1" t="e">
        <f t="shared" si="61"/>
        <v>#N/A</v>
      </c>
      <c r="N104" s="17" t="e">
        <f>VLOOKUP(B104,[1]Plan1!$A:$G,2,FALSE)</f>
        <v>#N/A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224"/>
      <c r="B105" s="234" t="s">
        <v>141</v>
      </c>
      <c r="C105" s="235" t="s">
        <v>142</v>
      </c>
      <c r="D105" s="234" t="s">
        <v>20</v>
      </c>
      <c r="E105" s="234">
        <f>ROUNDUP(1/100,2)</f>
        <v>0.01</v>
      </c>
      <c r="F105" s="236"/>
      <c r="G105" s="236"/>
      <c r="H105" s="236">
        <f t="shared" si="58"/>
        <v>0</v>
      </c>
      <c r="I105" s="236">
        <f t="shared" si="59"/>
        <v>0</v>
      </c>
      <c r="J105" s="222">
        <f>ROUNDUP((4)/24,3)</f>
        <v>0.16700000000000001</v>
      </c>
      <c r="K105" s="16">
        <f t="shared" si="60"/>
        <v>0.01</v>
      </c>
      <c r="L105" s="1"/>
      <c r="M105" s="1" t="e">
        <f t="shared" si="61"/>
        <v>#N/A</v>
      </c>
      <c r="N105" s="17" t="e">
        <f>VLOOKUP(B105,[1]Plan1!$A:$G,2,FALSE)</f>
        <v>#N/A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20"/>
      <c r="D106" s="3"/>
      <c r="E106" s="3"/>
      <c r="F106" s="10"/>
      <c r="G106" s="10"/>
      <c r="H106" s="10"/>
      <c r="I106" s="1"/>
      <c r="J106" s="12"/>
      <c r="K106" s="1"/>
      <c r="L106" s="1"/>
      <c r="M106" s="1"/>
      <c r="N106" s="17" t="e">
        <f>VLOOKUP(B106,[1]Plan1!$A:$G,2,FALSE)</f>
        <v>#N/A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223" t="s">
        <v>153</v>
      </c>
      <c r="B107" s="223"/>
      <c r="C107" s="223" t="s">
        <v>154</v>
      </c>
      <c r="D107" s="223"/>
      <c r="E107" s="223"/>
      <c r="F107" s="223"/>
      <c r="G107" s="223"/>
      <c r="H107" s="223"/>
      <c r="I107" s="223"/>
      <c r="J107" s="219"/>
      <c r="K107" s="21"/>
      <c r="L107" s="1"/>
      <c r="M107" s="1"/>
      <c r="N107" s="17" t="e">
        <f>VLOOKUP(B107,[1]Plan1!$A:$G,2,FALSE)</f>
        <v>#N/A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" customHeight="1">
      <c r="A108" s="224"/>
      <c r="B108" s="224"/>
      <c r="C108" s="225"/>
      <c r="D108" s="226"/>
      <c r="E108" s="226"/>
      <c r="F108" s="227"/>
      <c r="G108" s="227"/>
      <c r="H108" s="228"/>
      <c r="I108" s="224"/>
      <c r="J108" s="220"/>
      <c r="K108" s="1"/>
      <c r="L108" s="1"/>
      <c r="M108" s="1"/>
      <c r="N108" s="17" t="e">
        <f>VLOOKUP(B108,[1]Plan1!$A:$G,2,FALSE)</f>
        <v>#N/A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229" t="s">
        <v>4</v>
      </c>
      <c r="B109" s="230" t="s">
        <v>5</v>
      </c>
      <c r="C109" s="229" t="s">
        <v>6</v>
      </c>
      <c r="D109" s="229" t="s">
        <v>7</v>
      </c>
      <c r="E109" s="229" t="s">
        <v>8</v>
      </c>
      <c r="F109" s="229" t="s">
        <v>9</v>
      </c>
      <c r="G109" s="229" t="s">
        <v>10</v>
      </c>
      <c r="H109" s="229" t="s">
        <v>11</v>
      </c>
      <c r="I109" s="229" t="s">
        <v>12</v>
      </c>
      <c r="J109" s="221"/>
      <c r="K109" s="13" t="s">
        <v>14</v>
      </c>
      <c r="L109" s="1"/>
      <c r="M109" s="1"/>
      <c r="N109" s="17" t="e">
        <f>VLOOKUP(B109,[1]Plan1!$A:$G,2,FALSE)</f>
        <v>#N/A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231" t="s">
        <v>155</v>
      </c>
      <c r="B110" s="231"/>
      <c r="C110" s="231" t="s">
        <v>156</v>
      </c>
      <c r="D110" s="232" t="s">
        <v>20</v>
      </c>
      <c r="E110" s="232"/>
      <c r="F110" s="233"/>
      <c r="G110" s="233"/>
      <c r="H110" s="233"/>
      <c r="I110" s="233">
        <f>SUM(I111:I114)</f>
        <v>0</v>
      </c>
      <c r="J110" s="15"/>
      <c r="K110" s="14">
        <f>SUM(K111:K114)</f>
        <v>0.17</v>
      </c>
      <c r="L110" s="1"/>
      <c r="M110" s="1"/>
      <c r="N110" s="17" t="e">
        <f>VLOOKUP(B110,[1]Plan1!$A:$G,2,FALSE)</f>
        <v>#N/A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224"/>
      <c r="B111" s="234" t="s">
        <v>71</v>
      </c>
      <c r="C111" s="235" t="s">
        <v>72</v>
      </c>
      <c r="D111" s="234" t="s">
        <v>41</v>
      </c>
      <c r="E111" s="234">
        <f>ROUNDUP(0.1+((0.4*0.2*(3-0.6)+0.6*0.6*0.6)*4/9),2)</f>
        <v>0.29000000000000004</v>
      </c>
      <c r="F111" s="236"/>
      <c r="G111" s="236"/>
      <c r="H111" s="236">
        <f t="shared" ref="H111:H114" si="63">G111+F111</f>
        <v>0</v>
      </c>
      <c r="I111" s="236">
        <f t="shared" ref="I111:I114" si="64">H111*E111</f>
        <v>0</v>
      </c>
      <c r="J111" s="222">
        <f>ROUNDUP((20)/24/2,3)</f>
        <v>0.41699999999999998</v>
      </c>
      <c r="K111" s="16">
        <f t="shared" ref="K111:K114" si="65">ROUNDUP(J111*E111,2)</f>
        <v>0.13</v>
      </c>
      <c r="L111" s="1"/>
      <c r="M111" s="1" t="e">
        <f t="shared" ref="M111:M114" si="66">IF(N111=C111,"ok","CPOS alterada")</f>
        <v>#N/A</v>
      </c>
      <c r="N111" s="17" t="e">
        <f>VLOOKUP(B111,[1]Plan1!$A:$G,2,FALSE)</f>
        <v>#N/A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224"/>
      <c r="B112" s="234" t="s">
        <v>157</v>
      </c>
      <c r="C112" s="235" t="s">
        <v>158</v>
      </c>
      <c r="D112" s="234" t="s">
        <v>20</v>
      </c>
      <c r="E112" s="234">
        <v>1</v>
      </c>
      <c r="F112" s="236"/>
      <c r="G112" s="236"/>
      <c r="H112" s="236">
        <f t="shared" si="63"/>
        <v>0</v>
      </c>
      <c r="I112" s="236">
        <f t="shared" si="64"/>
        <v>0</v>
      </c>
      <c r="J112" s="222">
        <f>ROUNDUP((0.6)/24/2,3)</f>
        <v>1.3000000000000001E-2</v>
      </c>
      <c r="K112" s="16">
        <f t="shared" si="65"/>
        <v>0.02</v>
      </c>
      <c r="L112" s="1"/>
      <c r="M112" s="1" t="e">
        <f t="shared" si="66"/>
        <v>#N/A</v>
      </c>
      <c r="N112" s="17" t="e">
        <f>VLOOKUP(B112,[1]Plan1!$A:$G,2,FALSE)</f>
        <v>#N/A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224"/>
      <c r="B113" s="234" t="s">
        <v>159</v>
      </c>
      <c r="C113" s="235" t="s">
        <v>160</v>
      </c>
      <c r="D113" s="234" t="s">
        <v>28</v>
      </c>
      <c r="E113" s="234">
        <f>12/100</f>
        <v>0.12</v>
      </c>
      <c r="F113" s="236"/>
      <c r="G113" s="236"/>
      <c r="H113" s="236">
        <f t="shared" si="63"/>
        <v>0</v>
      </c>
      <c r="I113" s="236">
        <f t="shared" si="64"/>
        <v>0</v>
      </c>
      <c r="J113" s="222">
        <f>ROUNDUP((0.4)/24,3)</f>
        <v>1.7000000000000001E-2</v>
      </c>
      <c r="K113" s="16">
        <f t="shared" si="65"/>
        <v>0.01</v>
      </c>
      <c r="L113" s="1"/>
      <c r="M113" s="1" t="e">
        <f t="shared" si="66"/>
        <v>#N/A</v>
      </c>
      <c r="N113" s="17" t="e">
        <f>VLOOKUP(B113,[1]Plan1!$A:$G,2,FALSE)</f>
        <v>#N/A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224"/>
      <c r="B114" s="234" t="s">
        <v>81</v>
      </c>
      <c r="C114" s="235" t="s">
        <v>82</v>
      </c>
      <c r="D114" s="234" t="s">
        <v>41</v>
      </c>
      <c r="E114" s="234">
        <f>ROUNDUP((0.4*0.2*(3-0.6)+0.6*0.6*0.6)*4/9,2)</f>
        <v>0.19</v>
      </c>
      <c r="F114" s="236"/>
      <c r="G114" s="236"/>
      <c r="H114" s="236">
        <f t="shared" si="63"/>
        <v>0</v>
      </c>
      <c r="I114" s="236">
        <f t="shared" si="64"/>
        <v>0</v>
      </c>
      <c r="J114" s="222">
        <f>ROUNDUP((0.43)/24,3)</f>
        <v>1.8000000000000002E-2</v>
      </c>
      <c r="K114" s="16">
        <f t="shared" si="65"/>
        <v>0.01</v>
      </c>
      <c r="L114" s="1"/>
      <c r="M114" s="1" t="e">
        <f t="shared" si="66"/>
        <v>#N/A</v>
      </c>
      <c r="N114" s="17" t="e">
        <f>VLOOKUP(B114,[1]Plan1!$A:$G,2,FALSE)</f>
        <v>#N/A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20"/>
      <c r="D115" s="3"/>
      <c r="E115" s="3"/>
      <c r="F115" s="10"/>
      <c r="G115" s="10"/>
      <c r="H115" s="10"/>
      <c r="I115" s="1"/>
      <c r="J115" s="12"/>
      <c r="K115" s="1"/>
      <c r="L115" s="1"/>
      <c r="M115" s="1"/>
      <c r="N115" s="17" t="e">
        <f>VLOOKUP(B115,[1]Plan1!$A:$G,2,FALSE)</f>
        <v>#N/A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223" t="s">
        <v>161</v>
      </c>
      <c r="B116" s="223"/>
      <c r="C116" s="223" t="s">
        <v>162</v>
      </c>
      <c r="D116" s="223"/>
      <c r="E116" s="223"/>
      <c r="F116" s="223"/>
      <c r="G116" s="223"/>
      <c r="H116" s="223"/>
      <c r="I116" s="223"/>
      <c r="J116" s="219"/>
      <c r="K116" s="21"/>
      <c r="L116" s="1"/>
      <c r="M116" s="1"/>
      <c r="N116" s="17" t="e">
        <f>VLOOKUP(B116,[1]Plan1!$A:$G,2,FALSE)</f>
        <v>#N/A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" customHeight="1">
      <c r="A117" s="224"/>
      <c r="B117" s="224"/>
      <c r="C117" s="225"/>
      <c r="D117" s="226"/>
      <c r="E117" s="226"/>
      <c r="F117" s="227"/>
      <c r="G117" s="227"/>
      <c r="H117" s="228"/>
      <c r="I117" s="224"/>
      <c r="J117" s="220"/>
      <c r="K117" s="1"/>
      <c r="L117" s="1"/>
      <c r="M117" s="1"/>
      <c r="N117" s="17" t="e">
        <f>VLOOKUP(B117,[1]Plan1!$A:$G,2,FALSE)</f>
        <v>#N/A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229" t="s">
        <v>4</v>
      </c>
      <c r="B118" s="230" t="s">
        <v>5</v>
      </c>
      <c r="C118" s="229" t="s">
        <v>6</v>
      </c>
      <c r="D118" s="229" t="s">
        <v>7</v>
      </c>
      <c r="E118" s="229" t="s">
        <v>8</v>
      </c>
      <c r="F118" s="229" t="s">
        <v>9</v>
      </c>
      <c r="G118" s="229" t="s">
        <v>10</v>
      </c>
      <c r="H118" s="229" t="s">
        <v>11</v>
      </c>
      <c r="I118" s="229" t="s">
        <v>12</v>
      </c>
      <c r="J118" s="221"/>
      <c r="K118" s="13" t="s">
        <v>14</v>
      </c>
      <c r="L118" s="1"/>
      <c r="M118" s="1"/>
      <c r="N118" s="17" t="e">
        <f>VLOOKUP(B118,[1]Plan1!$A:$G,2,FALSE)</f>
        <v>#N/A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231" t="s">
        <v>163</v>
      </c>
      <c r="B119" s="231"/>
      <c r="C119" s="231" t="s">
        <v>164</v>
      </c>
      <c r="D119" s="232" t="s">
        <v>28</v>
      </c>
      <c r="E119" s="232"/>
      <c r="F119" s="233"/>
      <c r="G119" s="233"/>
      <c r="H119" s="233"/>
      <c r="I119" s="233">
        <f>SUM(I120:I122)</f>
        <v>0</v>
      </c>
      <c r="J119" s="15"/>
      <c r="K119" s="14">
        <f>SUM(K120:K122)</f>
        <v>0.39</v>
      </c>
      <c r="L119" s="1"/>
      <c r="M119" s="1"/>
      <c r="N119" s="17" t="e">
        <f>VLOOKUP(B119,[1]Plan1!$A:$G,2,FALSE)</f>
        <v>#N/A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226"/>
      <c r="B120" s="234" t="s">
        <v>71</v>
      </c>
      <c r="C120" s="235" t="s">
        <v>72</v>
      </c>
      <c r="D120" s="234" t="s">
        <v>41</v>
      </c>
      <c r="E120" s="234">
        <f>ROUNDUP(1.2*0.21,2)</f>
        <v>0.26</v>
      </c>
      <c r="F120" s="236"/>
      <c r="G120" s="236"/>
      <c r="H120" s="236">
        <f t="shared" ref="H120:H122" si="67">G120+F120</f>
        <v>0</v>
      </c>
      <c r="I120" s="236">
        <f t="shared" ref="I120:I122" si="68">H120*E120</f>
        <v>0</v>
      </c>
      <c r="J120" s="222">
        <f>ROUNDUP((20)/24/2,3)</f>
        <v>0.41699999999999998</v>
      </c>
      <c r="K120" s="16">
        <f t="shared" ref="K120:K122" si="69">ROUNDUP(J120*E120,2)</f>
        <v>0.11</v>
      </c>
      <c r="L120" s="1"/>
      <c r="M120" s="1" t="e">
        <f t="shared" ref="M120:M122" si="70">IF(N120=C120,"ok","CPOS alterada")</f>
        <v>#N/A</v>
      </c>
      <c r="N120" s="17" t="e">
        <f>VLOOKUP(B120,[1]Plan1!$A:$G,2,FALSE)</f>
        <v>#N/A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224"/>
      <c r="B121" s="234" t="s">
        <v>165</v>
      </c>
      <c r="C121" s="235" t="s">
        <v>166</v>
      </c>
      <c r="D121" s="234" t="s">
        <v>20</v>
      </c>
      <c r="E121" s="234">
        <v>1.2</v>
      </c>
      <c r="F121" s="236"/>
      <c r="G121" s="236"/>
      <c r="H121" s="236">
        <f t="shared" si="67"/>
        <v>0</v>
      </c>
      <c r="I121" s="236">
        <f t="shared" si="68"/>
        <v>0</v>
      </c>
      <c r="J121" s="222">
        <f>ROUNDUP((5)/24,3)</f>
        <v>0.20899999999999999</v>
      </c>
      <c r="K121" s="16">
        <f t="shared" si="69"/>
        <v>0.26</v>
      </c>
      <c r="L121" s="1"/>
      <c r="M121" s="1" t="e">
        <f t="shared" si="70"/>
        <v>#N/A</v>
      </c>
      <c r="N121" s="17" t="e">
        <f>VLOOKUP(B121,[1]Plan1!$A:$G,2,FALSE)</f>
        <v>#N/A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224"/>
      <c r="B122" s="234" t="s">
        <v>167</v>
      </c>
      <c r="C122" s="235" t="s">
        <v>168</v>
      </c>
      <c r="D122" s="234" t="s">
        <v>28</v>
      </c>
      <c r="E122" s="234">
        <v>1</v>
      </c>
      <c r="F122" s="236"/>
      <c r="G122" s="236"/>
      <c r="H122" s="236">
        <f t="shared" si="67"/>
        <v>0</v>
      </c>
      <c r="I122" s="236">
        <f t="shared" si="68"/>
        <v>0</v>
      </c>
      <c r="J122" s="222">
        <f>ROUNDUP((0.48)/24,3)</f>
        <v>0.02</v>
      </c>
      <c r="K122" s="16">
        <f t="shared" si="69"/>
        <v>0.02</v>
      </c>
      <c r="L122" s="1"/>
      <c r="M122" s="1" t="e">
        <f t="shared" si="70"/>
        <v>#N/A</v>
      </c>
      <c r="N122" s="17" t="e">
        <f>VLOOKUP(B122,[1]Plan1!$A:$G,2,FALSE)</f>
        <v>#N/A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231" t="s">
        <v>169</v>
      </c>
      <c r="B123" s="231"/>
      <c r="C123" s="231" t="s">
        <v>170</v>
      </c>
      <c r="D123" s="232" t="s">
        <v>25</v>
      </c>
      <c r="E123" s="232">
        <v>1</v>
      </c>
      <c r="F123" s="233"/>
      <c r="G123" s="233"/>
      <c r="H123" s="233"/>
      <c r="I123" s="233">
        <f>SUM(I124:I131)</f>
        <v>0</v>
      </c>
      <c r="J123" s="15"/>
      <c r="K123" s="14">
        <f>SUM(K124:K131)</f>
        <v>1.7600000000000002</v>
      </c>
      <c r="L123" s="1"/>
      <c r="M123" s="1"/>
      <c r="N123" s="17" t="e">
        <f>VLOOKUP(B123,[1]Plan1!$A:$G,2,FALSE)</f>
        <v>#N/A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226"/>
      <c r="B124" s="234" t="s">
        <v>71</v>
      </c>
      <c r="C124" s="235" t="s">
        <v>72</v>
      </c>
      <c r="D124" s="234" t="s">
        <v>41</v>
      </c>
      <c r="E124" s="234">
        <f>ROUNDUP((0.1*0.5*0.9)+(0.4*0.9)*0.2,2)</f>
        <v>0.12</v>
      </c>
      <c r="F124" s="236"/>
      <c r="G124" s="236"/>
      <c r="H124" s="236">
        <f t="shared" ref="H124:H131" si="71">G124+F124</f>
        <v>0</v>
      </c>
      <c r="I124" s="236">
        <f t="shared" ref="I124:I131" si="72">H124*E124</f>
        <v>0</v>
      </c>
      <c r="J124" s="222">
        <f>ROUNDUP((20)/24/2,3)</f>
        <v>0.41699999999999998</v>
      </c>
      <c r="K124" s="16">
        <f t="shared" ref="K124:K131" si="73">ROUNDUP(J124*E124,2)</f>
        <v>6.0000000000000005E-2</v>
      </c>
      <c r="L124" s="1"/>
      <c r="M124" s="1" t="e">
        <f t="shared" ref="M124:M131" si="74">IF(N124=C124,"ok","CPOS alterada")</f>
        <v>#N/A</v>
      </c>
      <c r="N124" s="17" t="e">
        <f>VLOOKUP(B124,[1]Plan1!$A:$G,2,FALSE)</f>
        <v>#N/A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9.25" customHeight="1">
      <c r="A125" s="226"/>
      <c r="B125" s="234" t="s">
        <v>91</v>
      </c>
      <c r="C125" s="235" t="s">
        <v>92</v>
      </c>
      <c r="D125" s="234" t="s">
        <v>41</v>
      </c>
      <c r="E125" s="234">
        <f>ROUNDUP((0.9*2+0.1*2)*1.7*0.15,2)</f>
        <v>0.51</v>
      </c>
      <c r="F125" s="236"/>
      <c r="G125" s="236"/>
      <c r="H125" s="236">
        <f t="shared" si="71"/>
        <v>0</v>
      </c>
      <c r="I125" s="236">
        <f t="shared" si="72"/>
        <v>0</v>
      </c>
      <c r="J125" s="222">
        <f>ROUNDUP((4)/24/2,3)</f>
        <v>8.4000000000000005E-2</v>
      </c>
      <c r="K125" s="16">
        <f t="shared" si="73"/>
        <v>0.05</v>
      </c>
      <c r="L125" s="1"/>
      <c r="M125" s="1" t="e">
        <f t="shared" si="74"/>
        <v>#N/A</v>
      </c>
      <c r="N125" s="17" t="e">
        <f>VLOOKUP(B125,[1]Plan1!$A:$G,2,FALSE)</f>
        <v>#N/A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226"/>
      <c r="B126" s="234" t="s">
        <v>171</v>
      </c>
      <c r="C126" s="235" t="s">
        <v>172</v>
      </c>
      <c r="D126" s="234" t="s">
        <v>25</v>
      </c>
      <c r="E126" s="234">
        <v>1</v>
      </c>
      <c r="F126" s="236"/>
      <c r="G126" s="236"/>
      <c r="H126" s="236">
        <f t="shared" si="71"/>
        <v>0</v>
      </c>
      <c r="I126" s="236">
        <f t="shared" si="72"/>
        <v>0</v>
      </c>
      <c r="J126" s="222">
        <f>ROUNDUP((8)/24,3)</f>
        <v>0.33400000000000002</v>
      </c>
      <c r="K126" s="16">
        <f t="shared" si="73"/>
        <v>0.34</v>
      </c>
      <c r="L126" s="1"/>
      <c r="M126" s="1" t="e">
        <f t="shared" si="74"/>
        <v>#N/A</v>
      </c>
      <c r="N126" s="17" t="e">
        <f>VLOOKUP(B126,[1]Plan1!$A:$G,2,FALSE)</f>
        <v>#N/A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224"/>
      <c r="B127" s="234" t="s">
        <v>173</v>
      </c>
      <c r="C127" s="235" t="s">
        <v>174</v>
      </c>
      <c r="D127" s="234" t="s">
        <v>25</v>
      </c>
      <c r="E127" s="234">
        <v>2</v>
      </c>
      <c r="F127" s="236"/>
      <c r="G127" s="236"/>
      <c r="H127" s="236">
        <f t="shared" si="71"/>
        <v>0</v>
      </c>
      <c r="I127" s="236">
        <f t="shared" si="72"/>
        <v>0</v>
      </c>
      <c r="J127" s="222">
        <f>ROUNDUP((1)/24,3)</f>
        <v>4.2000000000000003E-2</v>
      </c>
      <c r="K127" s="16">
        <f t="shared" si="73"/>
        <v>0.09</v>
      </c>
      <c r="L127" s="1"/>
      <c r="M127" s="1" t="e">
        <f t="shared" si="74"/>
        <v>#N/A</v>
      </c>
      <c r="N127" s="17" t="e">
        <f>VLOOKUP(B127,[1]Plan1!$A:$G,2,FALSE)</f>
        <v>#N/A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224"/>
      <c r="B128" s="234" t="s">
        <v>175</v>
      </c>
      <c r="C128" s="235" t="s">
        <v>176</v>
      </c>
      <c r="D128" s="234" t="s">
        <v>28</v>
      </c>
      <c r="E128" s="234">
        <v>40</v>
      </c>
      <c r="F128" s="236"/>
      <c r="G128" s="236"/>
      <c r="H128" s="236">
        <f t="shared" si="71"/>
        <v>0</v>
      </c>
      <c r="I128" s="236">
        <f t="shared" si="72"/>
        <v>0</v>
      </c>
      <c r="J128" s="222">
        <f>ROUNDUP((0.4)/24,3)</f>
        <v>1.7000000000000001E-2</v>
      </c>
      <c r="K128" s="16">
        <f t="shared" si="73"/>
        <v>0.68</v>
      </c>
      <c r="L128" s="1"/>
      <c r="M128" s="1" t="e">
        <f t="shared" si="74"/>
        <v>#N/A</v>
      </c>
      <c r="N128" s="17" t="e">
        <f>VLOOKUP(B128,[1]Plan1!$A:$G,2,FALSE)</f>
        <v>#N/A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224"/>
      <c r="B129" s="234" t="s">
        <v>177</v>
      </c>
      <c r="C129" s="235" t="s">
        <v>178</v>
      </c>
      <c r="D129" s="234" t="s">
        <v>25</v>
      </c>
      <c r="E129" s="234">
        <v>1</v>
      </c>
      <c r="F129" s="236"/>
      <c r="G129" s="236"/>
      <c r="H129" s="236">
        <f t="shared" si="71"/>
        <v>0</v>
      </c>
      <c r="I129" s="236">
        <f t="shared" si="72"/>
        <v>0</v>
      </c>
      <c r="J129" s="222">
        <f>ROUNDUP((6.5)/24,3)</f>
        <v>0.27100000000000002</v>
      </c>
      <c r="K129" s="16">
        <f t="shared" si="73"/>
        <v>0.28000000000000003</v>
      </c>
      <c r="L129" s="1"/>
      <c r="M129" s="1" t="e">
        <f t="shared" si="74"/>
        <v>#N/A</v>
      </c>
      <c r="N129" s="17" t="e">
        <f>VLOOKUP(B129,[1]Plan1!$A:$G,2,FALSE)</f>
        <v>#N/A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224"/>
      <c r="B130" s="234" t="s">
        <v>179</v>
      </c>
      <c r="C130" s="235" t="s">
        <v>180</v>
      </c>
      <c r="D130" s="234" t="s">
        <v>28</v>
      </c>
      <c r="E130" s="234">
        <v>5</v>
      </c>
      <c r="F130" s="236"/>
      <c r="G130" s="236"/>
      <c r="H130" s="236">
        <f t="shared" si="71"/>
        <v>0</v>
      </c>
      <c r="I130" s="236">
        <f t="shared" si="72"/>
        <v>0</v>
      </c>
      <c r="J130" s="222">
        <f>ROUNDUP((1)/24,3)</f>
        <v>4.2000000000000003E-2</v>
      </c>
      <c r="K130" s="16">
        <f t="shared" si="73"/>
        <v>0.21</v>
      </c>
      <c r="L130" s="1"/>
      <c r="M130" s="1" t="e">
        <f t="shared" si="74"/>
        <v>#N/A</v>
      </c>
      <c r="N130" s="17" t="e">
        <f>VLOOKUP(B130,[1]Plan1!$A:$G,2,FALSE)</f>
        <v>#N/A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224"/>
      <c r="B131" s="234" t="s">
        <v>181</v>
      </c>
      <c r="C131" s="235" t="s">
        <v>182</v>
      </c>
      <c r="D131" s="234" t="s">
        <v>28</v>
      </c>
      <c r="E131" s="234">
        <v>5</v>
      </c>
      <c r="F131" s="236"/>
      <c r="G131" s="236"/>
      <c r="H131" s="236">
        <f t="shared" si="71"/>
        <v>0</v>
      </c>
      <c r="I131" s="236">
        <f t="shared" si="72"/>
        <v>0</v>
      </c>
      <c r="J131" s="222">
        <f>ROUNDUP((0.2)/24,3)</f>
        <v>9.0000000000000011E-3</v>
      </c>
      <c r="K131" s="16">
        <f t="shared" si="73"/>
        <v>0.05</v>
      </c>
      <c r="L131" s="1"/>
      <c r="M131" s="1" t="e">
        <f t="shared" si="74"/>
        <v>#N/A</v>
      </c>
      <c r="N131" s="17" t="e">
        <f>VLOOKUP(B131,[1]Plan1!$A:$G,2,FALSE)</f>
        <v>#N/A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231" t="s">
        <v>183</v>
      </c>
      <c r="B132" s="231"/>
      <c r="C132" s="231" t="s">
        <v>184</v>
      </c>
      <c r="D132" s="232" t="s">
        <v>25</v>
      </c>
      <c r="E132" s="232">
        <v>1</v>
      </c>
      <c r="F132" s="233"/>
      <c r="G132" s="233"/>
      <c r="H132" s="233"/>
      <c r="I132" s="233">
        <f>SUM(I133:I138)</f>
        <v>0</v>
      </c>
      <c r="J132" s="15"/>
      <c r="K132" s="14">
        <f>SUM(K133:K138)</f>
        <v>0.44000000000000006</v>
      </c>
      <c r="L132" s="1"/>
      <c r="M132" s="1"/>
      <c r="N132" s="17" t="e">
        <f>VLOOKUP(B132,[1]Plan1!$A:$G,2,FALSE)</f>
        <v>#N/A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226"/>
      <c r="B133" s="234" t="s">
        <v>71</v>
      </c>
      <c r="C133" s="235" t="s">
        <v>72</v>
      </c>
      <c r="D133" s="234" t="s">
        <v>41</v>
      </c>
      <c r="E133" s="234">
        <f>ROUNDUP((0.1*0.4*0.9)*2,2)</f>
        <v>0.08</v>
      </c>
      <c r="F133" s="236"/>
      <c r="G133" s="236"/>
      <c r="H133" s="236">
        <f t="shared" ref="H133:H138" si="75">G133+F133</f>
        <v>0</v>
      </c>
      <c r="I133" s="236">
        <f t="shared" ref="I133:I138" si="76">H133*E133</f>
        <v>0</v>
      </c>
      <c r="J133" s="222">
        <f>ROUNDUP((20)/24/2,3)</f>
        <v>0.41699999999999998</v>
      </c>
      <c r="K133" s="16">
        <f t="shared" ref="K133:K138" si="77">ROUNDUP(J133*E133,2)</f>
        <v>0.04</v>
      </c>
      <c r="L133" s="1"/>
      <c r="M133" s="1" t="e">
        <f t="shared" ref="M133:M138" si="78">IF(N133=C133,"ok","CPOS alterada")</f>
        <v>#N/A</v>
      </c>
      <c r="N133" s="17" t="e">
        <f>VLOOKUP(B133,[1]Plan1!$A:$G,2,FALSE)</f>
        <v>#N/A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224"/>
      <c r="B134" s="234" t="s">
        <v>91</v>
      </c>
      <c r="C134" s="235" t="s">
        <v>92</v>
      </c>
      <c r="D134" s="234" t="s">
        <v>41</v>
      </c>
      <c r="E134" s="234">
        <f>ROUNDUP((0.4*2+0.9)*(1.1-0.1)*0.15,2)</f>
        <v>0.26</v>
      </c>
      <c r="F134" s="236"/>
      <c r="G134" s="236"/>
      <c r="H134" s="236">
        <f t="shared" si="75"/>
        <v>0</v>
      </c>
      <c r="I134" s="236">
        <f t="shared" si="76"/>
        <v>0</v>
      </c>
      <c r="J134" s="222">
        <f>ROUNDUP((4)/24/2,3)</f>
        <v>8.4000000000000005E-2</v>
      </c>
      <c r="K134" s="16">
        <f t="shared" si="77"/>
        <v>0.03</v>
      </c>
      <c r="L134" s="1"/>
      <c r="M134" s="1" t="e">
        <f t="shared" si="78"/>
        <v>#N/A</v>
      </c>
      <c r="N134" s="17" t="e">
        <f>VLOOKUP(B134,[1]Plan1!$A:$G,2,FALSE)</f>
        <v>#N/A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224"/>
      <c r="B135" s="234" t="s">
        <v>185</v>
      </c>
      <c r="C135" s="235" t="s">
        <v>186</v>
      </c>
      <c r="D135" s="234" t="s">
        <v>25</v>
      </c>
      <c r="E135" s="234">
        <v>2</v>
      </c>
      <c r="F135" s="236"/>
      <c r="G135" s="236"/>
      <c r="H135" s="236">
        <f t="shared" si="75"/>
        <v>0</v>
      </c>
      <c r="I135" s="236">
        <f t="shared" si="76"/>
        <v>0</v>
      </c>
      <c r="J135" s="222">
        <f>ROUNDUP((1.1)/24,3)</f>
        <v>4.5999999999999999E-2</v>
      </c>
      <c r="K135" s="16">
        <f t="shared" si="77"/>
        <v>9.9999999999999992E-2</v>
      </c>
      <c r="L135" s="1"/>
      <c r="M135" s="1" t="e">
        <f t="shared" si="78"/>
        <v>#N/A</v>
      </c>
      <c r="N135" s="17" t="e">
        <f>VLOOKUP(B135,[1]Plan1!$A:$G,2,FALSE)</f>
        <v>#N/A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224"/>
      <c r="B136" s="234" t="s">
        <v>159</v>
      </c>
      <c r="C136" s="235" t="s">
        <v>160</v>
      </c>
      <c r="D136" s="234" t="s">
        <v>28</v>
      </c>
      <c r="E136" s="234">
        <v>12</v>
      </c>
      <c r="F136" s="236"/>
      <c r="G136" s="236"/>
      <c r="H136" s="236">
        <f t="shared" si="75"/>
        <v>0</v>
      </c>
      <c r="I136" s="236">
        <f t="shared" si="76"/>
        <v>0</v>
      </c>
      <c r="J136" s="222">
        <f t="shared" ref="J136:J138" si="79">ROUNDUP((0.4)/24,3)</f>
        <v>1.7000000000000001E-2</v>
      </c>
      <c r="K136" s="16">
        <f t="shared" si="77"/>
        <v>0.21000000000000002</v>
      </c>
      <c r="L136" s="1"/>
      <c r="M136" s="1" t="e">
        <f t="shared" si="78"/>
        <v>#N/A</v>
      </c>
      <c r="N136" s="17" t="e">
        <f>VLOOKUP(B136,[1]Plan1!$A:$G,2,FALSE)</f>
        <v>#N/A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224"/>
      <c r="B137" s="234" t="s">
        <v>187</v>
      </c>
      <c r="C137" s="235" t="s">
        <v>188</v>
      </c>
      <c r="D137" s="234" t="s">
        <v>41</v>
      </c>
      <c r="E137" s="234">
        <f>ROUNDUP(10*0.3*0.5,1)</f>
        <v>1.5</v>
      </c>
      <c r="F137" s="236"/>
      <c r="G137" s="236"/>
      <c r="H137" s="236">
        <f t="shared" si="75"/>
        <v>0</v>
      </c>
      <c r="I137" s="236">
        <f t="shared" si="76"/>
        <v>0</v>
      </c>
      <c r="J137" s="222">
        <f t="shared" si="79"/>
        <v>1.7000000000000001E-2</v>
      </c>
      <c r="K137" s="16">
        <f t="shared" si="77"/>
        <v>0.03</v>
      </c>
      <c r="L137" s="1"/>
      <c r="M137" s="1" t="e">
        <f t="shared" si="78"/>
        <v>#N/A</v>
      </c>
      <c r="N137" s="17" t="e">
        <f>VLOOKUP(B137,[1]Plan1!$A:$G,2,FALSE)</f>
        <v>#N/A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224"/>
      <c r="B138" s="234" t="s">
        <v>189</v>
      </c>
      <c r="C138" s="235" t="s">
        <v>190</v>
      </c>
      <c r="D138" s="234" t="s">
        <v>41</v>
      </c>
      <c r="E138" s="234">
        <f>E137</f>
        <v>1.5</v>
      </c>
      <c r="F138" s="236"/>
      <c r="G138" s="236"/>
      <c r="H138" s="236">
        <f t="shared" si="75"/>
        <v>0</v>
      </c>
      <c r="I138" s="236">
        <f t="shared" si="76"/>
        <v>0</v>
      </c>
      <c r="J138" s="222">
        <f t="shared" si="79"/>
        <v>1.7000000000000001E-2</v>
      </c>
      <c r="K138" s="16">
        <f t="shared" si="77"/>
        <v>0.03</v>
      </c>
      <c r="L138" s="1"/>
      <c r="M138" s="1" t="e">
        <f t="shared" si="78"/>
        <v>#N/A</v>
      </c>
      <c r="N138" s="17" t="e">
        <f>VLOOKUP(B138,[1]Plan1!$A:$G,2,FALSE)</f>
        <v>#N/A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231" t="s">
        <v>191</v>
      </c>
      <c r="B139" s="231"/>
      <c r="C139" s="231" t="s">
        <v>192</v>
      </c>
      <c r="D139" s="232" t="s">
        <v>25</v>
      </c>
      <c r="E139" s="232">
        <v>1</v>
      </c>
      <c r="F139" s="233"/>
      <c r="G139" s="233"/>
      <c r="H139" s="233"/>
      <c r="I139" s="233">
        <f>SUM(I140:I143)</f>
        <v>0</v>
      </c>
      <c r="J139" s="15"/>
      <c r="K139" s="14">
        <f>SUM(K140:K143)</f>
        <v>0.85000000000000009</v>
      </c>
      <c r="L139" s="1"/>
      <c r="M139" s="1"/>
      <c r="N139" s="17" t="e">
        <f>VLOOKUP(B139,[1]Plan1!$A:$G,2,FALSE)</f>
        <v>#N/A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226"/>
      <c r="B140" s="234" t="s">
        <v>71</v>
      </c>
      <c r="C140" s="235" t="s">
        <v>72</v>
      </c>
      <c r="D140" s="234" t="s">
        <v>41</v>
      </c>
      <c r="E140" s="234">
        <f>ROUNDUP(((3.1415*(2^2))/4)*0.12,1)</f>
        <v>0.4</v>
      </c>
      <c r="F140" s="236"/>
      <c r="G140" s="236"/>
      <c r="H140" s="236">
        <f t="shared" ref="H140:H142" si="80">G140+F140</f>
        <v>0</v>
      </c>
      <c r="I140" s="236">
        <f t="shared" ref="I140:I143" si="81">H140*E140</f>
        <v>0</v>
      </c>
      <c r="J140" s="222">
        <f>ROUNDUP((20)/24,3)</f>
        <v>0.83399999999999996</v>
      </c>
      <c r="K140" s="16">
        <f t="shared" ref="K140:K143" si="82">ROUNDUP(J140*E140,2)</f>
        <v>0.34</v>
      </c>
      <c r="L140" s="1"/>
      <c r="M140" s="1" t="e">
        <f t="shared" ref="M140:M143" si="83">IF(N140=C140,"ok","CPOS alterada")</f>
        <v>#N/A</v>
      </c>
      <c r="N140" s="17" t="e">
        <f>VLOOKUP(B140,[1]Plan1!$A:$G,2,FALSE)</f>
        <v>#N/A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224"/>
      <c r="B141" s="234" t="s">
        <v>189</v>
      </c>
      <c r="C141" s="235" t="s">
        <v>190</v>
      </c>
      <c r="D141" s="234" t="s">
        <v>41</v>
      </c>
      <c r="E141" s="234">
        <f>ROUNDUP(((3.1415*(2^2))/4)*2.5,2)</f>
        <v>7.8599999999999994</v>
      </c>
      <c r="F141" s="236"/>
      <c r="G141" s="236"/>
      <c r="H141" s="236">
        <f t="shared" si="80"/>
        <v>0</v>
      </c>
      <c r="I141" s="236">
        <f t="shared" si="81"/>
        <v>0</v>
      </c>
      <c r="J141" s="222">
        <f>ROUNDUP((0.073+0.86)/24,3)</f>
        <v>3.9E-2</v>
      </c>
      <c r="K141" s="16">
        <f t="shared" si="82"/>
        <v>0.31</v>
      </c>
      <c r="L141" s="1"/>
      <c r="M141" s="1" t="e">
        <f t="shared" si="83"/>
        <v>#N/A</v>
      </c>
      <c r="N141" s="17" t="e">
        <f>VLOOKUP(B141,[1]Plan1!$A:$G,2,FALSE)</f>
        <v>#N/A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224"/>
      <c r="B142" s="234" t="s">
        <v>193</v>
      </c>
      <c r="C142" s="235" t="s">
        <v>194</v>
      </c>
      <c r="D142" s="234" t="s">
        <v>41</v>
      </c>
      <c r="E142" s="234">
        <f>E141</f>
        <v>7.8599999999999994</v>
      </c>
      <c r="F142" s="236"/>
      <c r="G142" s="236"/>
      <c r="H142" s="236">
        <f t="shared" si="80"/>
        <v>0</v>
      </c>
      <c r="I142" s="236">
        <f t="shared" si="81"/>
        <v>0</v>
      </c>
      <c r="J142" s="222">
        <f>ROUNDUP((0.6)/24,3)</f>
        <v>2.5000000000000001E-2</v>
      </c>
      <c r="K142" s="16">
        <f t="shared" si="82"/>
        <v>0.2</v>
      </c>
      <c r="L142" s="1"/>
      <c r="M142" s="1" t="e">
        <f t="shared" si="83"/>
        <v>#N/A</v>
      </c>
      <c r="N142" s="17" t="e">
        <f>VLOOKUP(B142,[1]Plan1!$A:$G,2,FALSE)</f>
        <v>#N/A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224"/>
      <c r="B143" s="234"/>
      <c r="C143" s="235"/>
      <c r="D143" s="234"/>
      <c r="E143" s="234"/>
      <c r="F143" s="237"/>
      <c r="G143" s="237"/>
      <c r="H143" s="236">
        <f>F143+G143</f>
        <v>0</v>
      </c>
      <c r="I143" s="236">
        <f t="shared" si="81"/>
        <v>0</v>
      </c>
      <c r="J143" s="222"/>
      <c r="K143" s="16">
        <f t="shared" si="82"/>
        <v>0</v>
      </c>
      <c r="L143" s="1"/>
      <c r="M143" s="1" t="e">
        <f t="shared" si="83"/>
        <v>#N/A</v>
      </c>
      <c r="N143" s="17" t="e">
        <f>VLOOKUP(B143,[1]Plan1!$A:$G,2,FALSE)</f>
        <v>#N/A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20"/>
      <c r="D144" s="3"/>
      <c r="E144" s="3"/>
      <c r="F144" s="10"/>
      <c r="G144" s="10"/>
      <c r="H144" s="10"/>
      <c r="I144" s="1"/>
      <c r="J144" s="12"/>
      <c r="K144" s="1"/>
      <c r="L144" s="1"/>
      <c r="M144" s="1"/>
      <c r="N144" s="17" t="e">
        <f>VLOOKUP(B144,[1]Plan1!$A:$G,2,FALSE)</f>
        <v>#N/A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223" t="s">
        <v>195</v>
      </c>
      <c r="B145" s="223"/>
      <c r="C145" s="223" t="s">
        <v>196</v>
      </c>
      <c r="D145" s="223"/>
      <c r="E145" s="223"/>
      <c r="F145" s="223"/>
      <c r="G145" s="223"/>
      <c r="H145" s="223"/>
      <c r="I145" s="223"/>
      <c r="J145" s="219"/>
      <c r="K145" s="21"/>
      <c r="L145" s="1"/>
      <c r="M145" s="1"/>
      <c r="N145" s="17" t="e">
        <f>VLOOKUP(B145,[1]Plan1!$A:$G,2,FALSE)</f>
        <v>#N/A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" customHeight="1">
      <c r="A146" s="224"/>
      <c r="B146" s="224"/>
      <c r="C146" s="225"/>
      <c r="D146" s="226"/>
      <c r="E146" s="226"/>
      <c r="F146" s="227"/>
      <c r="G146" s="227"/>
      <c r="H146" s="228"/>
      <c r="I146" s="224"/>
      <c r="J146" s="220"/>
      <c r="K146" s="1"/>
      <c r="L146" s="1"/>
      <c r="M146" s="1"/>
      <c r="N146" s="17" t="e">
        <f>VLOOKUP(B146,[1]Plan1!$A:$G,2,FALSE)</f>
        <v>#N/A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229" t="s">
        <v>4</v>
      </c>
      <c r="B147" s="230" t="s">
        <v>5</v>
      </c>
      <c r="C147" s="229" t="s">
        <v>6</v>
      </c>
      <c r="D147" s="229" t="s">
        <v>7</v>
      </c>
      <c r="E147" s="229" t="s">
        <v>8</v>
      </c>
      <c r="F147" s="229" t="s">
        <v>9</v>
      </c>
      <c r="G147" s="229" t="s">
        <v>10</v>
      </c>
      <c r="H147" s="229" t="s">
        <v>11</v>
      </c>
      <c r="I147" s="229" t="s">
        <v>12</v>
      </c>
      <c r="J147" s="221"/>
      <c r="K147" s="13" t="s">
        <v>14</v>
      </c>
      <c r="L147" s="1"/>
      <c r="M147" s="1"/>
      <c r="N147" s="17" t="e">
        <f>VLOOKUP(B147,[1]Plan1!$A:$G,2,FALSE)</f>
        <v>#N/A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231" t="s">
        <v>197</v>
      </c>
      <c r="B148" s="231"/>
      <c r="C148" s="231" t="s">
        <v>198</v>
      </c>
      <c r="D148" s="232" t="s">
        <v>17</v>
      </c>
      <c r="E148" s="232"/>
      <c r="F148" s="233"/>
      <c r="G148" s="233"/>
      <c r="H148" s="233"/>
      <c r="I148" s="233">
        <f>SUM(I149:I153)</f>
        <v>0</v>
      </c>
      <c r="J148" s="15"/>
      <c r="K148" s="14">
        <f>SUM(K149:K151)</f>
        <v>0.19</v>
      </c>
      <c r="L148" s="1"/>
      <c r="M148" s="1"/>
      <c r="N148" s="17" t="e">
        <f>VLOOKUP(B148,[1]Plan1!$A:$G,2,FALSE)</f>
        <v>#N/A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226"/>
      <c r="B149" s="234" t="s">
        <v>199</v>
      </c>
      <c r="C149" s="235" t="s">
        <v>200</v>
      </c>
      <c r="D149" s="234" t="s">
        <v>25</v>
      </c>
      <c r="E149" s="234">
        <v>2</v>
      </c>
      <c r="F149" s="236"/>
      <c r="G149" s="236"/>
      <c r="H149" s="236">
        <f t="shared" ref="H149:H153" si="84">G149+F149</f>
        <v>0</v>
      </c>
      <c r="I149" s="236">
        <f t="shared" ref="I149:I153" si="85">H149*E149</f>
        <v>0</v>
      </c>
      <c r="J149" s="222">
        <f>ROUNDUP((1.5)/24,3)</f>
        <v>6.3E-2</v>
      </c>
      <c r="K149" s="16">
        <f t="shared" ref="K149:K153" si="86">ROUNDUP(J149*E149,2)</f>
        <v>0.13</v>
      </c>
      <c r="L149" s="1"/>
      <c r="M149" s="1" t="e">
        <f t="shared" ref="M149:M153" si="87">IF(N149=C149,"ok","CPOS alterada")</f>
        <v>#N/A</v>
      </c>
      <c r="N149" s="17" t="e">
        <f>VLOOKUP(B149,[1]Plan1!$A:$G,2,FALSE)</f>
        <v>#N/A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224"/>
      <c r="B150" s="234" t="s">
        <v>201</v>
      </c>
      <c r="C150" s="235" t="s">
        <v>202</v>
      </c>
      <c r="D150" s="234" t="s">
        <v>25</v>
      </c>
      <c r="E150" s="234">
        <v>1</v>
      </c>
      <c r="F150" s="236"/>
      <c r="G150" s="236"/>
      <c r="H150" s="236">
        <f t="shared" si="84"/>
        <v>0</v>
      </c>
      <c r="I150" s="236">
        <f t="shared" si="85"/>
        <v>0</v>
      </c>
      <c r="J150" s="222">
        <f>ROUNDUP((0.6)/24,3)</f>
        <v>2.5000000000000001E-2</v>
      </c>
      <c r="K150" s="16">
        <f t="shared" si="86"/>
        <v>0.03</v>
      </c>
      <c r="L150" s="1"/>
      <c r="M150" s="1" t="e">
        <f t="shared" si="87"/>
        <v>#N/A</v>
      </c>
      <c r="N150" s="17" t="e">
        <f>VLOOKUP(B150,[1]Plan1!$A:$G,2,FALSE)</f>
        <v>#N/A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224"/>
      <c r="B151" s="234" t="s">
        <v>203</v>
      </c>
      <c r="C151" s="235" t="s">
        <v>204</v>
      </c>
      <c r="D151" s="234" t="s">
        <v>25</v>
      </c>
      <c r="E151" s="234">
        <v>2</v>
      </c>
      <c r="F151" s="236"/>
      <c r="G151" s="236"/>
      <c r="H151" s="236">
        <f t="shared" si="84"/>
        <v>0</v>
      </c>
      <c r="I151" s="236">
        <f t="shared" si="85"/>
        <v>0</v>
      </c>
      <c r="J151" s="222">
        <f>ROUNDUP((0.26)/24,3)</f>
        <v>1.0999999999999999E-2</v>
      </c>
      <c r="K151" s="16">
        <f t="shared" si="86"/>
        <v>0.03</v>
      </c>
      <c r="L151" s="1"/>
      <c r="M151" s="1" t="e">
        <f t="shared" si="87"/>
        <v>#N/A</v>
      </c>
      <c r="N151" s="17" t="e">
        <f>VLOOKUP(B151,[1]Plan1!$A:$G,2,FALSE)</f>
        <v>#N/A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224"/>
      <c r="B152" s="234" t="s">
        <v>205</v>
      </c>
      <c r="C152" s="235" t="s">
        <v>206</v>
      </c>
      <c r="D152" s="234" t="s">
        <v>25</v>
      </c>
      <c r="E152" s="234">
        <v>2</v>
      </c>
      <c r="F152" s="236"/>
      <c r="G152" s="236"/>
      <c r="H152" s="236">
        <f t="shared" si="84"/>
        <v>0</v>
      </c>
      <c r="I152" s="236">
        <f t="shared" si="85"/>
        <v>0</v>
      </c>
      <c r="J152" s="222">
        <f>ROUNDUP((0.4)/24,3)</f>
        <v>1.7000000000000001E-2</v>
      </c>
      <c r="K152" s="16">
        <f t="shared" si="86"/>
        <v>0.04</v>
      </c>
      <c r="L152" s="1"/>
      <c r="M152" s="1" t="e">
        <f t="shared" si="87"/>
        <v>#N/A</v>
      </c>
      <c r="N152" s="17" t="e">
        <f>VLOOKUP(B152,[1]Plan1!$A:$G,2,FALSE)</f>
        <v>#N/A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224"/>
      <c r="B153" s="234" t="s">
        <v>207</v>
      </c>
      <c r="C153" s="235" t="s">
        <v>208</v>
      </c>
      <c r="D153" s="234" t="s">
        <v>20</v>
      </c>
      <c r="E153" s="234">
        <f>0.6*0.4</f>
        <v>0.24</v>
      </c>
      <c r="F153" s="236"/>
      <c r="G153" s="236"/>
      <c r="H153" s="236">
        <f t="shared" si="84"/>
        <v>0</v>
      </c>
      <c r="I153" s="236">
        <f t="shared" si="85"/>
        <v>0</v>
      </c>
      <c r="J153" s="222">
        <f>ROUNDUP((0.5)/24,3)</f>
        <v>2.1000000000000001E-2</v>
      </c>
      <c r="K153" s="16">
        <f t="shared" si="86"/>
        <v>0.01</v>
      </c>
      <c r="L153" s="1"/>
      <c r="M153" s="1" t="e">
        <f t="shared" si="87"/>
        <v>#N/A</v>
      </c>
      <c r="N153" s="17" t="e">
        <f>VLOOKUP(B153,[1]Plan1!$A:$G,2,FALSE)</f>
        <v>#N/A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231" t="s">
        <v>209</v>
      </c>
      <c r="B154" s="231"/>
      <c r="C154" s="231" t="s">
        <v>210</v>
      </c>
      <c r="D154" s="232" t="s">
        <v>17</v>
      </c>
      <c r="E154" s="232"/>
      <c r="F154" s="233"/>
      <c r="G154" s="233"/>
      <c r="H154" s="233"/>
      <c r="I154" s="233">
        <f>SUM(I155:I158)</f>
        <v>0</v>
      </c>
      <c r="J154" s="15"/>
      <c r="K154" s="14">
        <f>SUM(K155:K158)</f>
        <v>0.21</v>
      </c>
      <c r="L154" s="1"/>
      <c r="M154" s="1"/>
      <c r="N154" s="17" t="e">
        <f>VLOOKUP(B154,[1]Plan1!$A:$G,2,FALSE)</f>
        <v>#N/A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224"/>
      <c r="B155" s="234" t="s">
        <v>211</v>
      </c>
      <c r="C155" s="235" t="s">
        <v>212</v>
      </c>
      <c r="D155" s="234" t="s">
        <v>20</v>
      </c>
      <c r="E155" s="234">
        <f>0.6*1.5</f>
        <v>0.89999999999999991</v>
      </c>
      <c r="F155" s="236"/>
      <c r="G155" s="236"/>
      <c r="H155" s="236">
        <f t="shared" ref="H155:H158" si="88">G155+F155</f>
        <v>0</v>
      </c>
      <c r="I155" s="236">
        <f t="shared" ref="I155:I158" si="89">H155*E155</f>
        <v>0</v>
      </c>
      <c r="J155" s="222">
        <f>ROUNDUP((2.8)/24,3)</f>
        <v>0.11700000000000001</v>
      </c>
      <c r="K155" s="16">
        <f t="shared" ref="K155:K158" si="90">ROUNDUP(J155*E155,2)</f>
        <v>0.11</v>
      </c>
      <c r="L155" s="1"/>
      <c r="M155" s="1" t="e">
        <f t="shared" ref="M155:M158" si="91">IF(N155=C155,"ok","CPOS alterada")</f>
        <v>#N/A</v>
      </c>
      <c r="N155" s="17" t="e">
        <f>VLOOKUP(B155,[1]Plan1!$A:$G,2,FALSE)</f>
        <v>#N/A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224"/>
      <c r="B156" s="234" t="s">
        <v>203</v>
      </c>
      <c r="C156" s="235" t="s">
        <v>204</v>
      </c>
      <c r="D156" s="234" t="s">
        <v>25</v>
      </c>
      <c r="E156" s="234">
        <v>1</v>
      </c>
      <c r="F156" s="236"/>
      <c r="G156" s="236"/>
      <c r="H156" s="236">
        <f t="shared" si="88"/>
        <v>0</v>
      </c>
      <c r="I156" s="236">
        <f t="shared" si="89"/>
        <v>0</v>
      </c>
      <c r="J156" s="222">
        <f>ROUNDUP((0.26)/24,3)</f>
        <v>1.0999999999999999E-2</v>
      </c>
      <c r="K156" s="16">
        <f t="shared" si="90"/>
        <v>0.02</v>
      </c>
      <c r="L156" s="1"/>
      <c r="M156" s="1" t="e">
        <f t="shared" si="91"/>
        <v>#N/A</v>
      </c>
      <c r="N156" s="17" t="e">
        <f>VLOOKUP(B156,[1]Plan1!$A:$G,2,FALSE)</f>
        <v>#N/A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224"/>
      <c r="B157" s="234" t="s">
        <v>205</v>
      </c>
      <c r="C157" s="235" t="s">
        <v>206</v>
      </c>
      <c r="D157" s="234" t="s">
        <v>25</v>
      </c>
      <c r="E157" s="234">
        <v>1</v>
      </c>
      <c r="F157" s="236"/>
      <c r="G157" s="236"/>
      <c r="H157" s="236">
        <f t="shared" si="88"/>
        <v>0</v>
      </c>
      <c r="I157" s="236">
        <f t="shared" si="89"/>
        <v>0</v>
      </c>
      <c r="J157" s="222">
        <f>ROUNDUP((0.4)/24,3)</f>
        <v>1.7000000000000001E-2</v>
      </c>
      <c r="K157" s="16">
        <f t="shared" si="90"/>
        <v>0.02</v>
      </c>
      <c r="L157" s="1"/>
      <c r="M157" s="1" t="e">
        <f t="shared" si="91"/>
        <v>#N/A</v>
      </c>
      <c r="N157" s="17" t="e">
        <f>VLOOKUP(B157,[1]Plan1!$A:$G,2,FALSE)</f>
        <v>#N/A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224"/>
      <c r="B158" s="234" t="s">
        <v>213</v>
      </c>
      <c r="C158" s="235" t="s">
        <v>214</v>
      </c>
      <c r="D158" s="234" t="s">
        <v>20</v>
      </c>
      <c r="E158" s="234">
        <v>4</v>
      </c>
      <c r="F158" s="236"/>
      <c r="G158" s="236"/>
      <c r="H158" s="236">
        <f t="shared" si="88"/>
        <v>0</v>
      </c>
      <c r="I158" s="236">
        <f t="shared" si="89"/>
        <v>0</v>
      </c>
      <c r="J158" s="222">
        <f>ROUNDUP((0.3)/24,3)</f>
        <v>1.3000000000000001E-2</v>
      </c>
      <c r="K158" s="16">
        <f t="shared" si="90"/>
        <v>6.0000000000000005E-2</v>
      </c>
      <c r="L158" s="1"/>
      <c r="M158" s="1" t="e">
        <f t="shared" si="91"/>
        <v>#N/A</v>
      </c>
      <c r="N158" s="17" t="e">
        <f>VLOOKUP(B158,[1]Plan1!$A:$G,2,FALSE)</f>
        <v>#N/A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231" t="s">
        <v>215</v>
      </c>
      <c r="B159" s="231"/>
      <c r="C159" s="231" t="s">
        <v>216</v>
      </c>
      <c r="D159" s="232" t="s">
        <v>17</v>
      </c>
      <c r="E159" s="232"/>
      <c r="F159" s="233"/>
      <c r="G159" s="233"/>
      <c r="H159" s="233"/>
      <c r="I159" s="233">
        <f>SUM(I160:I161)</f>
        <v>0</v>
      </c>
      <c r="J159" s="15"/>
      <c r="K159" s="14">
        <f>SUM(K160:K161)</f>
        <v>0.42000000000000004</v>
      </c>
      <c r="L159" s="1"/>
      <c r="M159" s="1"/>
      <c r="N159" s="17" t="e">
        <f>VLOOKUP(B159,[1]Plan1!$A:$G,2,FALSE)</f>
        <v>#N/A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224"/>
      <c r="B160" s="234" t="s">
        <v>217</v>
      </c>
      <c r="C160" s="235" t="s">
        <v>218</v>
      </c>
      <c r="D160" s="234" t="s">
        <v>25</v>
      </c>
      <c r="E160" s="234">
        <v>1</v>
      </c>
      <c r="F160" s="236"/>
      <c r="G160" s="236"/>
      <c r="H160" s="236">
        <f t="shared" ref="H160:H161" si="92">G160+F160</f>
        <v>0</v>
      </c>
      <c r="I160" s="236">
        <f t="shared" ref="I160:I161" si="93">H160*E160</f>
        <v>0</v>
      </c>
      <c r="J160" s="222">
        <f>ROUNDUP((6)/24,3)</f>
        <v>0.25</v>
      </c>
      <c r="K160" s="16">
        <f t="shared" ref="K160:K161" si="94">ROUNDUP(J160*E160,2)</f>
        <v>0.25</v>
      </c>
      <c r="L160" s="1"/>
      <c r="M160" s="1" t="e">
        <f t="shared" ref="M160:M161" si="95">IF(N160=C160,"ok","CPOS alterada")</f>
        <v>#N/A</v>
      </c>
      <c r="N160" s="17" t="e">
        <f>VLOOKUP(B160,[1]Plan1!$A:$G,2,FALSE)</f>
        <v>#N/A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224"/>
      <c r="B161" s="234" t="s">
        <v>159</v>
      </c>
      <c r="C161" s="235" t="s">
        <v>160</v>
      </c>
      <c r="D161" s="234" t="s">
        <v>28</v>
      </c>
      <c r="E161" s="234">
        <v>10</v>
      </c>
      <c r="F161" s="236"/>
      <c r="G161" s="236"/>
      <c r="H161" s="236">
        <f t="shared" si="92"/>
        <v>0</v>
      </c>
      <c r="I161" s="236">
        <f t="shared" si="93"/>
        <v>0</v>
      </c>
      <c r="J161" s="222">
        <f>ROUNDUP((0.4)/24,3)</f>
        <v>1.7000000000000001E-2</v>
      </c>
      <c r="K161" s="16">
        <f t="shared" si="94"/>
        <v>0.17</v>
      </c>
      <c r="L161" s="1"/>
      <c r="M161" s="1" t="e">
        <f t="shared" si="95"/>
        <v>#N/A</v>
      </c>
      <c r="N161" s="17" t="e">
        <f>VLOOKUP(B161,[1]Plan1!$A:$G,2,FALSE)</f>
        <v>#N/A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231" t="s">
        <v>219</v>
      </c>
      <c r="B162" s="231"/>
      <c r="C162" s="231" t="s">
        <v>220</v>
      </c>
      <c r="D162" s="232" t="s">
        <v>20</v>
      </c>
      <c r="E162" s="232"/>
      <c r="F162" s="233"/>
      <c r="G162" s="233"/>
      <c r="H162" s="233"/>
      <c r="I162" s="233">
        <f>SUM(I163:I167)</f>
        <v>0</v>
      </c>
      <c r="J162" s="15"/>
      <c r="K162" s="14">
        <f>SUM(K163:K167)</f>
        <v>0.05</v>
      </c>
      <c r="L162" s="1"/>
      <c r="M162" s="1"/>
      <c r="N162" s="17" t="e">
        <f>VLOOKUP(B162,[1]Plan1!$A:$G,2,FALSE)</f>
        <v>#N/A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224"/>
      <c r="B163" s="234" t="s">
        <v>221</v>
      </c>
      <c r="C163" s="235" t="s">
        <v>222</v>
      </c>
      <c r="D163" s="234" t="s">
        <v>25</v>
      </c>
      <c r="E163" s="234">
        <f t="shared" ref="E163:E164" si="96">ROUNDUP(1/36,2)</f>
        <v>0.03</v>
      </c>
      <c r="F163" s="236"/>
      <c r="G163" s="236"/>
      <c r="H163" s="236">
        <f t="shared" ref="H163:H167" si="97">G163+F163</f>
        <v>0</v>
      </c>
      <c r="I163" s="236">
        <f t="shared" ref="I163:I167" si="98">H163*E163</f>
        <v>0</v>
      </c>
      <c r="J163" s="222">
        <f>ROUNDUP((1)/24,3)</f>
        <v>4.2000000000000003E-2</v>
      </c>
      <c r="K163" s="16">
        <f t="shared" ref="K163:K167" si="99">ROUNDUP(J163*E163,2)</f>
        <v>0.01</v>
      </c>
      <c r="L163" s="1"/>
      <c r="M163" s="1" t="e">
        <f t="shared" ref="M163:M167" si="100">IF(N163=C163,"ok","CPOS alterada")</f>
        <v>#N/A</v>
      </c>
      <c r="N163" s="17" t="e">
        <f>VLOOKUP(B163,[1]Plan1!$A:$G,2,FALSE)</f>
        <v>#N/A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224"/>
      <c r="B164" s="234" t="s">
        <v>223</v>
      </c>
      <c r="C164" s="235" t="s">
        <v>224</v>
      </c>
      <c r="D164" s="234" t="s">
        <v>25</v>
      </c>
      <c r="E164" s="234">
        <f t="shared" si="96"/>
        <v>0.03</v>
      </c>
      <c r="F164" s="236"/>
      <c r="G164" s="236"/>
      <c r="H164" s="236">
        <f t="shared" si="97"/>
        <v>0</v>
      </c>
      <c r="I164" s="236">
        <f t="shared" si="98"/>
        <v>0</v>
      </c>
      <c r="J164" s="222">
        <f>ROUNDUP((2)/24,3)</f>
        <v>8.4000000000000005E-2</v>
      </c>
      <c r="K164" s="16">
        <f t="shared" si="99"/>
        <v>0.01</v>
      </c>
      <c r="L164" s="1"/>
      <c r="M164" s="1" t="e">
        <f t="shared" si="100"/>
        <v>#N/A</v>
      </c>
      <c r="N164" s="17" t="e">
        <f>VLOOKUP(B164,[1]Plan1!$A:$G,2,FALSE)</f>
        <v>#N/A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224"/>
      <c r="B165" s="234" t="s">
        <v>225</v>
      </c>
      <c r="C165" s="235" t="s">
        <v>226</v>
      </c>
      <c r="D165" s="234" t="s">
        <v>28</v>
      </c>
      <c r="E165" s="234">
        <f>E164*4</f>
        <v>0.12</v>
      </c>
      <c r="F165" s="236"/>
      <c r="G165" s="236"/>
      <c r="H165" s="236">
        <f t="shared" si="97"/>
        <v>0</v>
      </c>
      <c r="I165" s="236">
        <f t="shared" si="98"/>
        <v>0</v>
      </c>
      <c r="J165" s="222">
        <f>ROUNDUP((0.7)/24,3)</f>
        <v>3.0000000000000002E-2</v>
      </c>
      <c r="K165" s="16">
        <f t="shared" si="99"/>
        <v>0.01</v>
      </c>
      <c r="L165" s="1"/>
      <c r="M165" s="1" t="e">
        <f t="shared" si="100"/>
        <v>#N/A</v>
      </c>
      <c r="N165" s="17" t="e">
        <f>VLOOKUP(B165,[1]Plan1!$A:$G,2,FALSE)</f>
        <v>#N/A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224"/>
      <c r="B166" s="234" t="s">
        <v>175</v>
      </c>
      <c r="C166" s="235" t="s">
        <v>176</v>
      </c>
      <c r="D166" s="234" t="s">
        <v>28</v>
      </c>
      <c r="E166" s="234">
        <f>ROUNDUP((3*2+7)/36,2)</f>
        <v>0.37</v>
      </c>
      <c r="F166" s="236"/>
      <c r="G166" s="236"/>
      <c r="H166" s="236">
        <f t="shared" si="97"/>
        <v>0</v>
      </c>
      <c r="I166" s="236">
        <f t="shared" si="98"/>
        <v>0</v>
      </c>
      <c r="J166" s="222">
        <f>ROUNDUP((0.4)/24,2)</f>
        <v>0.02</v>
      </c>
      <c r="K166" s="16">
        <f t="shared" si="99"/>
        <v>0.01</v>
      </c>
      <c r="L166" s="1"/>
      <c r="M166" s="1" t="e">
        <f t="shared" si="100"/>
        <v>#N/A</v>
      </c>
      <c r="N166" s="17" t="e">
        <f>VLOOKUP(B166,[1]Plan1!$A:$G,2,FALSE)</f>
        <v>#N/A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224"/>
      <c r="B167" s="234" t="s">
        <v>179</v>
      </c>
      <c r="C167" s="235" t="s">
        <v>180</v>
      </c>
      <c r="D167" s="234" t="s">
        <v>28</v>
      </c>
      <c r="E167" s="234">
        <f>ROUNDUP(6/36,2)</f>
        <v>0.17</v>
      </c>
      <c r="F167" s="236"/>
      <c r="G167" s="236"/>
      <c r="H167" s="236">
        <f t="shared" si="97"/>
        <v>0</v>
      </c>
      <c r="I167" s="236">
        <f t="shared" si="98"/>
        <v>0</v>
      </c>
      <c r="J167" s="222">
        <f>ROUNDUP((1)/24,2)</f>
        <v>0.05</v>
      </c>
      <c r="K167" s="16">
        <f t="shared" si="99"/>
        <v>0.01</v>
      </c>
      <c r="L167" s="1"/>
      <c r="M167" s="1" t="e">
        <f t="shared" si="100"/>
        <v>#N/A</v>
      </c>
      <c r="N167" s="17" t="e">
        <f>VLOOKUP(B167,[1]Plan1!$A:$G,2,FALSE)</f>
        <v>#N/A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231" t="s">
        <v>227</v>
      </c>
      <c r="B168" s="231"/>
      <c r="C168" s="231" t="s">
        <v>228</v>
      </c>
      <c r="D168" s="232" t="s">
        <v>25</v>
      </c>
      <c r="E168" s="232"/>
      <c r="F168" s="233"/>
      <c r="G168" s="233"/>
      <c r="H168" s="233"/>
      <c r="I168" s="233">
        <f>SUM(I169:I170)</f>
        <v>0</v>
      </c>
      <c r="J168" s="15"/>
      <c r="K168" s="14">
        <f>SUM(K169:K170)</f>
        <v>0</v>
      </c>
      <c r="L168" s="1" t="s">
        <v>229</v>
      </c>
      <c r="M168" s="1"/>
      <c r="N168" s="17" t="e">
        <f>VLOOKUP(B168,[1]Plan1!$A:$G,2,FALSE)</f>
        <v>#N/A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224"/>
      <c r="B169" s="234" t="s">
        <v>230</v>
      </c>
      <c r="C169" s="235" t="s">
        <v>231</v>
      </c>
      <c r="D169" s="234" t="s">
        <v>25</v>
      </c>
      <c r="E169" s="234">
        <v>1</v>
      </c>
      <c r="F169" s="236"/>
      <c r="G169" s="236"/>
      <c r="H169" s="236">
        <f t="shared" ref="H169:H170" si="101">G169+F169</f>
        <v>0</v>
      </c>
      <c r="I169" s="236">
        <f t="shared" ref="I169:I170" si="102">H169*E169</f>
        <v>0</v>
      </c>
      <c r="J169" s="222">
        <f>ROUNDUP((1)/24,3)</f>
        <v>4.2000000000000003E-2</v>
      </c>
      <c r="K169" s="16"/>
      <c r="L169" s="1"/>
      <c r="M169" s="1" t="e">
        <f t="shared" ref="M169:M170" si="103">IF(N169=C169,"ok","CPOS alterada")</f>
        <v>#N/A</v>
      </c>
      <c r="N169" s="17" t="e">
        <f>VLOOKUP(B169,[1]Plan1!$A:$G,2,FALSE)</f>
        <v>#N/A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224"/>
      <c r="B170" s="234" t="s">
        <v>232</v>
      </c>
      <c r="C170" s="235" t="s">
        <v>233</v>
      </c>
      <c r="D170" s="234" t="s">
        <v>28</v>
      </c>
      <c r="E170" s="234">
        <f>1.2*2+1.4*2</f>
        <v>5.1999999999999993</v>
      </c>
      <c r="F170" s="236"/>
      <c r="G170" s="236"/>
      <c r="H170" s="236">
        <f t="shared" si="101"/>
        <v>0</v>
      </c>
      <c r="I170" s="236">
        <f t="shared" si="102"/>
        <v>0</v>
      </c>
      <c r="J170" s="222">
        <f>ROUNDUP((0.6)/24,3)</f>
        <v>2.5000000000000001E-2</v>
      </c>
      <c r="K170" s="16"/>
      <c r="L170" s="1"/>
      <c r="M170" s="1" t="e">
        <f t="shared" si="103"/>
        <v>#N/A</v>
      </c>
      <c r="N170" s="17" t="e">
        <f>VLOOKUP(B170,[1]Plan1!$A:$G,2,FALSE)</f>
        <v>#N/A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231" t="s">
        <v>234</v>
      </c>
      <c r="B171" s="231"/>
      <c r="C171" s="231" t="s">
        <v>235</v>
      </c>
      <c r="D171" s="232" t="s">
        <v>25</v>
      </c>
      <c r="E171" s="232"/>
      <c r="F171" s="233"/>
      <c r="G171" s="233"/>
      <c r="H171" s="233"/>
      <c r="I171" s="233">
        <f>SUM(I172:I173)</f>
        <v>0</v>
      </c>
      <c r="J171" s="15"/>
      <c r="K171" s="14">
        <f>SUM(K172:K173)</f>
        <v>0</v>
      </c>
      <c r="L171" s="1" t="s">
        <v>229</v>
      </c>
      <c r="M171" s="1"/>
      <c r="N171" s="17" t="e">
        <f>VLOOKUP(B171,[1]Plan1!$A:$G,2,FALSE)</f>
        <v>#N/A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224"/>
      <c r="B172" s="234" t="s">
        <v>230</v>
      </c>
      <c r="C172" s="235" t="s">
        <v>231</v>
      </c>
      <c r="D172" s="234" t="s">
        <v>25</v>
      </c>
      <c r="E172" s="234">
        <v>1</v>
      </c>
      <c r="F172" s="236"/>
      <c r="G172" s="236"/>
      <c r="H172" s="236">
        <v>0</v>
      </c>
      <c r="I172" s="236">
        <f t="shared" ref="I172:I173" si="104">H172*E172</f>
        <v>0</v>
      </c>
      <c r="J172" s="222">
        <f>ROUNDUP((1)/24,3)</f>
        <v>4.2000000000000003E-2</v>
      </c>
      <c r="K172" s="16"/>
      <c r="L172" s="1"/>
      <c r="M172" s="1" t="e">
        <f t="shared" ref="M172:M173" si="105">IF(N172=C172,"ok","CPOS alterada")</f>
        <v>#N/A</v>
      </c>
      <c r="N172" s="17" t="e">
        <f>VLOOKUP(B172,[1]Plan1!$A:$G,2,FALSE)</f>
        <v>#N/A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224"/>
      <c r="B173" s="234" t="s">
        <v>232</v>
      </c>
      <c r="C173" s="235" t="s">
        <v>233</v>
      </c>
      <c r="D173" s="234" t="s">
        <v>28</v>
      </c>
      <c r="E173" s="234">
        <f>2.1*2+0.8</f>
        <v>5</v>
      </c>
      <c r="F173" s="236"/>
      <c r="G173" s="236"/>
      <c r="H173" s="236">
        <v>0</v>
      </c>
      <c r="I173" s="236">
        <f t="shared" si="104"/>
        <v>0</v>
      </c>
      <c r="J173" s="222">
        <f>ROUNDUP((0.6)/24,3)</f>
        <v>2.5000000000000001E-2</v>
      </c>
      <c r="K173" s="16"/>
      <c r="L173" s="1"/>
      <c r="M173" s="1" t="e">
        <f t="shared" si="105"/>
        <v>#N/A</v>
      </c>
      <c r="N173" s="17" t="e">
        <f>VLOOKUP(B173,[1]Plan1!$A:$G,2,FALSE)</f>
        <v>#N/A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231" t="s">
        <v>236</v>
      </c>
      <c r="B174" s="231"/>
      <c r="C174" s="231" t="s">
        <v>237</v>
      </c>
      <c r="D174" s="232" t="s">
        <v>28</v>
      </c>
      <c r="E174" s="232"/>
      <c r="F174" s="233"/>
      <c r="G174" s="233"/>
      <c r="H174" s="233"/>
      <c r="I174" s="233">
        <f>SUM(I175)</f>
        <v>0</v>
      </c>
      <c r="J174" s="15"/>
      <c r="K174" s="14">
        <f>SUM(K175)</f>
        <v>0</v>
      </c>
      <c r="L174" s="1" t="s">
        <v>229</v>
      </c>
      <c r="M174" s="1"/>
      <c r="N174" s="17" t="e">
        <f>VLOOKUP(B174,[1]Plan1!$A:$G,2,FALSE)</f>
        <v>#N/A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224"/>
      <c r="B175" s="234" t="s">
        <v>238</v>
      </c>
      <c r="C175" s="235" t="s">
        <v>239</v>
      </c>
      <c r="D175" s="234" t="s">
        <v>20</v>
      </c>
      <c r="E175" s="234">
        <v>1.2</v>
      </c>
      <c r="F175" s="236"/>
      <c r="G175" s="236"/>
      <c r="H175" s="236">
        <v>0</v>
      </c>
      <c r="I175" s="236">
        <f>H175*E175</f>
        <v>0</v>
      </c>
      <c r="J175" s="222">
        <f>ROUNDUP((1.4)/24,3)</f>
        <v>5.9000000000000004E-2</v>
      </c>
      <c r="K175" s="16"/>
      <c r="L175" s="1"/>
      <c r="M175" s="1" t="e">
        <f>IF(N175=C175,"ok","CPOS alterada")</f>
        <v>#N/A</v>
      </c>
      <c r="N175" s="17" t="e">
        <f>VLOOKUP(B175,[1]Plan1!$A:$G,2,FALSE)</f>
        <v>#N/A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20"/>
      <c r="D176" s="3"/>
      <c r="E176" s="3"/>
      <c r="F176" s="10"/>
      <c r="G176" s="10"/>
      <c r="H176" s="10"/>
      <c r="I176" s="1"/>
      <c r="J176" s="12"/>
      <c r="K176" s="1"/>
      <c r="L176" s="1"/>
      <c r="M176" s="1"/>
      <c r="N176" s="17" t="e">
        <f>VLOOKUP(B176,[1]Plan1!$A:$G,2,FALSE)</f>
        <v>#N/A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223" t="s">
        <v>240</v>
      </c>
      <c r="B177" s="223"/>
      <c r="C177" s="223" t="s">
        <v>241</v>
      </c>
      <c r="D177" s="223"/>
      <c r="E177" s="223"/>
      <c r="F177" s="223"/>
      <c r="G177" s="223"/>
      <c r="H177" s="223"/>
      <c r="I177" s="223"/>
      <c r="J177" s="219"/>
      <c r="K177" s="21"/>
      <c r="L177" s="1"/>
      <c r="M177" s="1"/>
      <c r="N177" s="17" t="e">
        <f>VLOOKUP(B177,[1]Plan1!$A:$G,2,FALSE)</f>
        <v>#N/A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" customHeight="1">
      <c r="A178" s="224"/>
      <c r="B178" s="224"/>
      <c r="C178" s="225"/>
      <c r="D178" s="226"/>
      <c r="E178" s="226"/>
      <c r="F178" s="227"/>
      <c r="G178" s="227"/>
      <c r="H178" s="228"/>
      <c r="I178" s="224"/>
      <c r="J178" s="220"/>
      <c r="K178" s="1"/>
      <c r="L178" s="1"/>
      <c r="M178" s="1"/>
      <c r="N178" s="17" t="e">
        <f>VLOOKUP(B178,[1]Plan1!$A:$G,2,FALSE)</f>
        <v>#N/A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229" t="s">
        <v>4</v>
      </c>
      <c r="B179" s="230" t="s">
        <v>5</v>
      </c>
      <c r="C179" s="229" t="s">
        <v>6</v>
      </c>
      <c r="D179" s="229" t="s">
        <v>7</v>
      </c>
      <c r="E179" s="229" t="s">
        <v>8</v>
      </c>
      <c r="F179" s="229" t="s">
        <v>9</v>
      </c>
      <c r="G179" s="229" t="s">
        <v>10</v>
      </c>
      <c r="H179" s="229" t="s">
        <v>11</v>
      </c>
      <c r="I179" s="229" t="s">
        <v>12</v>
      </c>
      <c r="J179" s="221"/>
      <c r="K179" s="13" t="s">
        <v>14</v>
      </c>
      <c r="L179" s="1"/>
      <c r="M179" s="1"/>
      <c r="N179" s="17" t="e">
        <f>VLOOKUP(B179,[1]Plan1!$A:$G,2,FALSE)</f>
        <v>#N/A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231" t="s">
        <v>242</v>
      </c>
      <c r="B180" s="231"/>
      <c r="C180" s="231" t="s">
        <v>243</v>
      </c>
      <c r="D180" s="232" t="s">
        <v>41</v>
      </c>
      <c r="E180" s="232"/>
      <c r="F180" s="233"/>
      <c r="G180" s="233"/>
      <c r="H180" s="233"/>
      <c r="I180" s="233">
        <f>SUM(I181)</f>
        <v>0</v>
      </c>
      <c r="J180" s="15"/>
      <c r="K180" s="14">
        <f>SUM(K181)</f>
        <v>0.15000000000000002</v>
      </c>
      <c r="L180" s="1"/>
      <c r="M180" s="1"/>
      <c r="N180" s="17" t="e">
        <f>VLOOKUP(B180,[1]Plan1!$A:$G,2,FALSE)</f>
        <v>#N/A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226"/>
      <c r="B181" s="234" t="s">
        <v>244</v>
      </c>
      <c r="C181" s="235" t="s">
        <v>245</v>
      </c>
      <c r="D181" s="234" t="s">
        <v>41</v>
      </c>
      <c r="E181" s="234">
        <v>1.3</v>
      </c>
      <c r="F181" s="236"/>
      <c r="G181" s="236"/>
      <c r="H181" s="236">
        <v>0</v>
      </c>
      <c r="I181" s="236">
        <f>H181*E181</f>
        <v>0</v>
      </c>
      <c r="J181" s="222">
        <f>ROUNDUP((5.4)/24/2,3)</f>
        <v>0.113</v>
      </c>
      <c r="K181" s="16">
        <f>ROUNDUP(J181*E181,2)</f>
        <v>0.15000000000000002</v>
      </c>
      <c r="L181" s="1"/>
      <c r="M181" s="1" t="e">
        <f>IF(N181=C181,"ok","CPOS alterada")</f>
        <v>#N/A</v>
      </c>
      <c r="N181" s="17" t="e">
        <f>VLOOKUP(B181,[1]Plan1!$A:$G,2,FALSE)</f>
        <v>#N/A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231" t="s">
        <v>246</v>
      </c>
      <c r="B182" s="231"/>
      <c r="C182" s="231" t="s">
        <v>247</v>
      </c>
      <c r="D182" s="232" t="s">
        <v>41</v>
      </c>
      <c r="E182" s="232"/>
      <c r="F182" s="233"/>
      <c r="G182" s="233"/>
      <c r="H182" s="233"/>
      <c r="I182" s="233">
        <f>SUM(I183:I184)</f>
        <v>0</v>
      </c>
      <c r="J182" s="15"/>
      <c r="K182" s="14">
        <f>SUM(K183:K184)</f>
        <v>0.02</v>
      </c>
      <c r="L182" s="1"/>
      <c r="M182" s="1"/>
      <c r="N182" s="17" t="e">
        <f>VLOOKUP(B182,[1]Plan1!$A:$G,2,FALSE)</f>
        <v>#N/A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226"/>
      <c r="B183" s="234" t="s">
        <v>248</v>
      </c>
      <c r="C183" s="235" t="s">
        <v>249</v>
      </c>
      <c r="D183" s="234" t="s">
        <v>41</v>
      </c>
      <c r="E183" s="234">
        <v>1.3</v>
      </c>
      <c r="F183" s="236"/>
      <c r="G183" s="236"/>
      <c r="H183" s="236">
        <v>0</v>
      </c>
      <c r="I183" s="236">
        <f t="shared" ref="I183:I184" si="106">H183*E183</f>
        <v>0</v>
      </c>
      <c r="J183" s="222">
        <f>ROUNDUP((0.015+0.0488)/24,3)</f>
        <v>3.0000000000000001E-3</v>
      </c>
      <c r="K183" s="16">
        <f t="shared" ref="K183:K184" si="107">ROUNDUP(J183*E183,2)</f>
        <v>0.01</v>
      </c>
      <c r="L183" s="1"/>
      <c r="M183" s="1" t="e">
        <f t="shared" ref="M183:M184" si="108">IF(N183=C183,"ok","CPOS alterada")</f>
        <v>#N/A</v>
      </c>
      <c r="N183" s="17" t="e">
        <f>VLOOKUP(B183,[1]Plan1!$A:$G,2,FALSE)</f>
        <v>#N/A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224"/>
      <c r="B184" s="234" t="s">
        <v>250</v>
      </c>
      <c r="C184" s="235" t="s">
        <v>251</v>
      </c>
      <c r="D184" s="234" t="s">
        <v>41</v>
      </c>
      <c r="E184" s="234">
        <v>1.3</v>
      </c>
      <c r="F184" s="236"/>
      <c r="G184" s="236"/>
      <c r="H184" s="236">
        <v>0</v>
      </c>
      <c r="I184" s="236">
        <f t="shared" si="106"/>
        <v>0</v>
      </c>
      <c r="J184" s="222">
        <f>ROUNDUP((0.1543)/24,3)</f>
        <v>7.0000000000000001E-3</v>
      </c>
      <c r="K184" s="16">
        <f t="shared" si="107"/>
        <v>0.01</v>
      </c>
      <c r="L184" s="1"/>
      <c r="M184" s="1" t="e">
        <f t="shared" si="108"/>
        <v>#N/A</v>
      </c>
      <c r="N184" s="17" t="e">
        <f>VLOOKUP(B184,[1]Plan1!$A:$G,2,FALSE)</f>
        <v>#N/A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231" t="s">
        <v>252</v>
      </c>
      <c r="B185" s="231"/>
      <c r="C185" s="231" t="s">
        <v>253</v>
      </c>
      <c r="D185" s="232" t="s">
        <v>41</v>
      </c>
      <c r="E185" s="232"/>
      <c r="F185" s="233"/>
      <c r="G185" s="233"/>
      <c r="H185" s="233"/>
      <c r="I185" s="233">
        <f>SUM(I186)</f>
        <v>0</v>
      </c>
      <c r="J185" s="15"/>
      <c r="K185" s="14">
        <f>SUM(K186)</f>
        <v>0.02</v>
      </c>
      <c r="L185" s="1"/>
      <c r="M185" s="1"/>
      <c r="N185" s="17" t="e">
        <f>VLOOKUP(B185,[1]Plan1!$A:$G,2,FALSE)</f>
        <v>#N/A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224"/>
      <c r="B186" s="234" t="s">
        <v>254</v>
      </c>
      <c r="C186" s="235" t="s">
        <v>255</v>
      </c>
      <c r="D186" s="234" t="s">
        <v>41</v>
      </c>
      <c r="E186" s="234">
        <v>1.3</v>
      </c>
      <c r="F186" s="236"/>
      <c r="G186" s="236"/>
      <c r="H186" s="236">
        <v>0</v>
      </c>
      <c r="I186" s="236">
        <f>H186*E186</f>
        <v>0</v>
      </c>
      <c r="J186" s="222">
        <f>ROUNDUP((0.6)/24/2,3)</f>
        <v>1.3000000000000001E-2</v>
      </c>
      <c r="K186" s="16">
        <f>ROUNDUP(J186*E186,2)</f>
        <v>0.02</v>
      </c>
      <c r="L186" s="1"/>
      <c r="M186" s="1" t="e">
        <f>IF(N186=C186,"ok","CPOS alterada")</f>
        <v>#N/A</v>
      </c>
      <c r="N186" s="17" t="e">
        <f>VLOOKUP(B186,[1]Plan1!$A:$G,2,FALSE)</f>
        <v>#N/A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231" t="s">
        <v>256</v>
      </c>
      <c r="B187" s="231"/>
      <c r="C187" s="231" t="s">
        <v>257</v>
      </c>
      <c r="D187" s="232" t="s">
        <v>41</v>
      </c>
      <c r="E187" s="232"/>
      <c r="F187" s="233"/>
      <c r="G187" s="233"/>
      <c r="H187" s="233"/>
      <c r="I187" s="233">
        <f>SUM(I188:I190)</f>
        <v>0</v>
      </c>
      <c r="J187" s="15"/>
      <c r="K187" s="14">
        <f>SUM(K188:K190)</f>
        <v>7.9999999999999988E-2</v>
      </c>
      <c r="L187" s="1"/>
      <c r="M187" s="1"/>
      <c r="N187" s="17" t="e">
        <f>VLOOKUP(B187,[1]Plan1!$A:$G,2,FALSE)</f>
        <v>#N/A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226"/>
      <c r="B188" s="234" t="s">
        <v>258</v>
      </c>
      <c r="C188" s="235" t="s">
        <v>259</v>
      </c>
      <c r="D188" s="234" t="s">
        <v>260</v>
      </c>
      <c r="E188" s="234">
        <f>1.3*50-1</f>
        <v>64</v>
      </c>
      <c r="F188" s="236"/>
      <c r="G188" s="236"/>
      <c r="H188" s="236">
        <v>0</v>
      </c>
      <c r="I188" s="236">
        <f t="shared" ref="I188:I190" si="109">H188*E188</f>
        <v>0</v>
      </c>
      <c r="J188" s="222">
        <f>ROUNDUP((0.0109)/24,3)</f>
        <v>1E-3</v>
      </c>
      <c r="K188" s="16">
        <f t="shared" ref="K188:K190" si="110">ROUNDUP(J188*E188,2)</f>
        <v>6.9999999999999993E-2</v>
      </c>
      <c r="L188" s="1"/>
      <c r="M188" s="1" t="e">
        <f t="shared" ref="M188:M190" si="111">IF(N188=C188,"ok","CPOS alterada")</f>
        <v>#N/A</v>
      </c>
      <c r="N188" s="17" t="e">
        <f>VLOOKUP(B188,[1]Plan1!$A:$G,2,FALSE)</f>
        <v>#N/A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224"/>
      <c r="B189" s="234" t="s">
        <v>248</v>
      </c>
      <c r="C189" s="235" t="s">
        <v>249</v>
      </c>
      <c r="D189" s="234" t="s">
        <v>41</v>
      </c>
      <c r="E189" s="234">
        <v>1.3</v>
      </c>
      <c r="F189" s="236"/>
      <c r="G189" s="236"/>
      <c r="H189" s="236">
        <v>0</v>
      </c>
      <c r="I189" s="236">
        <f t="shared" si="109"/>
        <v>0</v>
      </c>
      <c r="J189" s="222">
        <f>ROUNDUP((0.015+0.0488)/24,3)</f>
        <v>3.0000000000000001E-3</v>
      </c>
      <c r="K189" s="16">
        <f t="shared" si="110"/>
        <v>0.01</v>
      </c>
      <c r="L189" s="1"/>
      <c r="M189" s="1" t="e">
        <f t="shared" si="111"/>
        <v>#N/A</v>
      </c>
      <c r="N189" s="17" t="e">
        <f>VLOOKUP(B189,[1]Plan1!$A:$G,2,FALSE)</f>
        <v>#N/A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224"/>
      <c r="B190" s="234" t="s">
        <v>261</v>
      </c>
      <c r="C190" s="235" t="s">
        <v>262</v>
      </c>
      <c r="D190" s="234" t="s">
        <v>263</v>
      </c>
      <c r="E190" s="234">
        <v>2.4</v>
      </c>
      <c r="F190" s="236"/>
      <c r="G190" s="236"/>
      <c r="H190" s="236">
        <v>0</v>
      </c>
      <c r="I190" s="236">
        <f t="shared" si="109"/>
        <v>0</v>
      </c>
      <c r="J190" s="222"/>
      <c r="K190" s="16">
        <f t="shared" si="110"/>
        <v>0</v>
      </c>
      <c r="L190" s="1"/>
      <c r="M190" s="1" t="e">
        <f t="shared" si="111"/>
        <v>#N/A</v>
      </c>
      <c r="N190" s="17" t="e">
        <f>VLOOKUP(B190,[1]Plan1!$A:$G,2,FALSE)</f>
        <v>#N/A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231" t="s">
        <v>264</v>
      </c>
      <c r="B191" s="231"/>
      <c r="C191" s="231" t="s">
        <v>265</v>
      </c>
      <c r="D191" s="232" t="s">
        <v>20</v>
      </c>
      <c r="E191" s="232"/>
      <c r="F191" s="233"/>
      <c r="G191" s="233"/>
      <c r="H191" s="233"/>
      <c r="I191" s="233">
        <f>SUM(I192)</f>
        <v>0</v>
      </c>
      <c r="J191" s="15"/>
      <c r="K191" s="14">
        <f>SUM(K192)</f>
        <v>0.01</v>
      </c>
      <c r="L191" s="1"/>
      <c r="M191" s="1"/>
      <c r="N191" s="17" t="e">
        <f>VLOOKUP(B191,[1]Plan1!$A:$G,2,FALSE)</f>
        <v>#N/A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224"/>
      <c r="B192" s="234" t="s">
        <v>266</v>
      </c>
      <c r="C192" s="235" t="s">
        <v>267</v>
      </c>
      <c r="D192" s="234" t="s">
        <v>263</v>
      </c>
      <c r="E192" s="234">
        <f>0.016*1.3*1.06</f>
        <v>2.2048000000000005E-2</v>
      </c>
      <c r="F192" s="236"/>
      <c r="G192" s="236"/>
      <c r="H192" s="236">
        <v>0</v>
      </c>
      <c r="I192" s="236">
        <f>H192*E192</f>
        <v>0</v>
      </c>
      <c r="J192" s="222">
        <f>ROUNDUP((0.6)/24/2,3)</f>
        <v>1.3000000000000001E-2</v>
      </c>
      <c r="K192" s="16">
        <f>ROUNDUP(J192*E192,2)</f>
        <v>0.01</v>
      </c>
      <c r="L192" s="1"/>
      <c r="M192" s="1" t="e">
        <f>IF(N192=C192,"ok","CPOS alterada")</f>
        <v>#N/A</v>
      </c>
      <c r="N192" s="17" t="e">
        <f>VLOOKUP(B192,[1]Plan1!$A:$G,2,FALSE)</f>
        <v>#N/A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20"/>
      <c r="D193" s="3"/>
      <c r="E193" s="3"/>
      <c r="F193" s="10"/>
      <c r="G193" s="10"/>
      <c r="H193" s="10"/>
      <c r="I193" s="1"/>
      <c r="J193" s="1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20"/>
      <c r="D194" s="3"/>
      <c r="E194" s="3"/>
      <c r="F194" s="10"/>
      <c r="G194" s="10"/>
      <c r="H194" s="10"/>
      <c r="I194" s="1"/>
      <c r="J194" s="1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20"/>
      <c r="D195" s="3"/>
      <c r="E195" s="3"/>
      <c r="F195" s="10"/>
      <c r="G195" s="10"/>
      <c r="H195" s="10"/>
      <c r="I195" s="1"/>
      <c r="J195" s="1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20"/>
      <c r="D196" s="3"/>
      <c r="E196" s="3"/>
      <c r="F196" s="10"/>
      <c r="G196" s="10"/>
      <c r="H196" s="10"/>
      <c r="I196" s="1"/>
      <c r="J196" s="1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20"/>
      <c r="D197" s="3"/>
      <c r="E197" s="3"/>
      <c r="F197" s="10"/>
      <c r="G197" s="10"/>
      <c r="H197" s="10"/>
      <c r="I197" s="1"/>
      <c r="J197" s="1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20"/>
      <c r="D198" s="3"/>
      <c r="E198" s="3"/>
      <c r="F198" s="10"/>
      <c r="G198" s="10"/>
      <c r="H198" s="10"/>
      <c r="I198" s="1"/>
      <c r="J198" s="1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20"/>
      <c r="D199" s="3"/>
      <c r="E199" s="3"/>
      <c r="F199" s="10"/>
      <c r="G199" s="10"/>
      <c r="H199" s="10"/>
      <c r="I199" s="1"/>
      <c r="J199" s="1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20"/>
      <c r="D200" s="3"/>
      <c r="E200" s="3"/>
      <c r="F200" s="10"/>
      <c r="G200" s="10"/>
      <c r="H200" s="10"/>
      <c r="I200" s="1"/>
      <c r="J200" s="1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20"/>
      <c r="D201" s="3"/>
      <c r="E201" s="3"/>
      <c r="F201" s="10"/>
      <c r="G201" s="10"/>
      <c r="H201" s="10"/>
      <c r="I201" s="1"/>
      <c r="J201" s="1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20"/>
      <c r="D202" s="3"/>
      <c r="E202" s="3"/>
      <c r="F202" s="10"/>
      <c r="G202" s="10"/>
      <c r="H202" s="10"/>
      <c r="I202" s="1"/>
      <c r="J202" s="1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20"/>
      <c r="D203" s="3"/>
      <c r="E203" s="3"/>
      <c r="F203" s="10"/>
      <c r="G203" s="10"/>
      <c r="H203" s="10"/>
      <c r="I203" s="1"/>
      <c r="J203" s="1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20"/>
      <c r="D204" s="3"/>
      <c r="E204" s="3"/>
      <c r="F204" s="10"/>
      <c r="G204" s="10"/>
      <c r="H204" s="10"/>
      <c r="I204" s="1"/>
      <c r="J204" s="1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20"/>
      <c r="D205" s="3"/>
      <c r="E205" s="3"/>
      <c r="F205" s="10"/>
      <c r="G205" s="10"/>
      <c r="H205" s="10"/>
      <c r="I205" s="1"/>
      <c r="J205" s="1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20"/>
      <c r="D206" s="3"/>
      <c r="E206" s="3"/>
      <c r="F206" s="10"/>
      <c r="G206" s="10"/>
      <c r="H206" s="10"/>
      <c r="I206" s="1"/>
      <c r="J206" s="1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20"/>
      <c r="D207" s="3"/>
      <c r="E207" s="3"/>
      <c r="F207" s="10"/>
      <c r="G207" s="10"/>
      <c r="H207" s="10"/>
      <c r="I207" s="1"/>
      <c r="J207" s="1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20"/>
      <c r="D208" s="3"/>
      <c r="E208" s="3"/>
      <c r="F208" s="10"/>
      <c r="G208" s="10"/>
      <c r="H208" s="10"/>
      <c r="I208" s="1"/>
      <c r="J208" s="1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20"/>
      <c r="D209" s="3"/>
      <c r="E209" s="3"/>
      <c r="F209" s="10"/>
      <c r="G209" s="10"/>
      <c r="H209" s="10"/>
      <c r="I209" s="1"/>
      <c r="J209" s="1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20"/>
      <c r="D210" s="3"/>
      <c r="E210" s="3"/>
      <c r="F210" s="10"/>
      <c r="G210" s="10"/>
      <c r="H210" s="10"/>
      <c r="I210" s="1"/>
      <c r="J210" s="1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20"/>
      <c r="D211" s="3"/>
      <c r="E211" s="3"/>
      <c r="F211" s="10"/>
      <c r="G211" s="10"/>
      <c r="H211" s="10"/>
      <c r="I211" s="1"/>
      <c r="J211" s="1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20"/>
      <c r="D212" s="3"/>
      <c r="E212" s="3"/>
      <c r="F212" s="10"/>
      <c r="G212" s="10"/>
      <c r="H212" s="10"/>
      <c r="I212" s="1"/>
      <c r="J212" s="1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20"/>
      <c r="D213" s="3"/>
      <c r="E213" s="3"/>
      <c r="F213" s="10"/>
      <c r="G213" s="10"/>
      <c r="H213" s="10"/>
      <c r="I213" s="1"/>
      <c r="J213" s="1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20"/>
      <c r="D214" s="3"/>
      <c r="E214" s="3"/>
      <c r="F214" s="10"/>
      <c r="G214" s="10"/>
      <c r="H214" s="10"/>
      <c r="I214" s="1"/>
      <c r="J214" s="1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20"/>
      <c r="D215" s="3"/>
      <c r="E215" s="3"/>
      <c r="F215" s="10"/>
      <c r="G215" s="10"/>
      <c r="H215" s="10"/>
      <c r="I215" s="1"/>
      <c r="J215" s="1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20"/>
      <c r="D216" s="3"/>
      <c r="E216" s="3"/>
      <c r="F216" s="10"/>
      <c r="G216" s="10"/>
      <c r="H216" s="10"/>
      <c r="I216" s="1"/>
      <c r="J216" s="1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20"/>
      <c r="D217" s="3"/>
      <c r="E217" s="3"/>
      <c r="F217" s="10"/>
      <c r="G217" s="10"/>
      <c r="H217" s="10"/>
      <c r="I217" s="1"/>
      <c r="J217" s="1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20"/>
      <c r="D218" s="3"/>
      <c r="E218" s="3"/>
      <c r="F218" s="10"/>
      <c r="G218" s="10"/>
      <c r="H218" s="10"/>
      <c r="I218" s="1"/>
      <c r="J218" s="1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20"/>
      <c r="D219" s="3"/>
      <c r="E219" s="3"/>
      <c r="F219" s="10"/>
      <c r="G219" s="10"/>
      <c r="H219" s="10"/>
      <c r="I219" s="1"/>
      <c r="J219" s="1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20"/>
      <c r="D220" s="3"/>
      <c r="E220" s="3"/>
      <c r="F220" s="10"/>
      <c r="G220" s="10"/>
      <c r="H220" s="10"/>
      <c r="I220" s="1"/>
      <c r="J220" s="1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20"/>
      <c r="D221" s="3"/>
      <c r="E221" s="3"/>
      <c r="F221" s="10"/>
      <c r="G221" s="10"/>
      <c r="H221" s="10"/>
      <c r="I221" s="1"/>
      <c r="J221" s="1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20"/>
      <c r="D222" s="3"/>
      <c r="E222" s="3"/>
      <c r="F222" s="10"/>
      <c r="G222" s="10"/>
      <c r="H222" s="10"/>
      <c r="I222" s="1"/>
      <c r="J222" s="1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20"/>
      <c r="D223" s="3"/>
      <c r="E223" s="3"/>
      <c r="F223" s="10"/>
      <c r="G223" s="10"/>
      <c r="H223" s="10"/>
      <c r="I223" s="1"/>
      <c r="J223" s="1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20"/>
      <c r="D224" s="3"/>
      <c r="E224" s="3"/>
      <c r="F224" s="10"/>
      <c r="G224" s="10"/>
      <c r="H224" s="10"/>
      <c r="I224" s="1"/>
      <c r="J224" s="1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20"/>
      <c r="D225" s="3"/>
      <c r="E225" s="3"/>
      <c r="F225" s="10"/>
      <c r="G225" s="10"/>
      <c r="H225" s="10"/>
      <c r="I225" s="1"/>
      <c r="J225" s="1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20"/>
      <c r="D226" s="3"/>
      <c r="E226" s="3"/>
      <c r="F226" s="10"/>
      <c r="G226" s="10"/>
      <c r="H226" s="10"/>
      <c r="I226" s="1"/>
      <c r="J226" s="1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20"/>
      <c r="D227" s="3"/>
      <c r="E227" s="3"/>
      <c r="F227" s="10"/>
      <c r="G227" s="10"/>
      <c r="H227" s="10"/>
      <c r="I227" s="1"/>
      <c r="J227" s="1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20"/>
      <c r="D228" s="3"/>
      <c r="E228" s="3"/>
      <c r="F228" s="10"/>
      <c r="G228" s="10"/>
      <c r="H228" s="10"/>
      <c r="I228" s="1"/>
      <c r="J228" s="1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20"/>
      <c r="D229" s="3"/>
      <c r="E229" s="3"/>
      <c r="F229" s="10"/>
      <c r="G229" s="10"/>
      <c r="H229" s="10"/>
      <c r="I229" s="1"/>
      <c r="J229" s="1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20"/>
      <c r="D230" s="3"/>
      <c r="E230" s="3"/>
      <c r="F230" s="10"/>
      <c r="G230" s="10"/>
      <c r="H230" s="10"/>
      <c r="I230" s="1"/>
      <c r="J230" s="1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20"/>
      <c r="D231" s="3"/>
      <c r="E231" s="3"/>
      <c r="F231" s="10"/>
      <c r="G231" s="10"/>
      <c r="H231" s="10"/>
      <c r="I231" s="1"/>
      <c r="J231" s="1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20"/>
      <c r="D232" s="3"/>
      <c r="E232" s="3"/>
      <c r="F232" s="10"/>
      <c r="G232" s="10"/>
      <c r="H232" s="10"/>
      <c r="I232" s="1"/>
      <c r="J232" s="1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20"/>
      <c r="D233" s="3"/>
      <c r="E233" s="3"/>
      <c r="F233" s="10"/>
      <c r="G233" s="10"/>
      <c r="H233" s="10"/>
      <c r="I233" s="1"/>
      <c r="J233" s="1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20"/>
      <c r="D234" s="3"/>
      <c r="E234" s="3"/>
      <c r="F234" s="10"/>
      <c r="G234" s="10"/>
      <c r="H234" s="10"/>
      <c r="I234" s="1"/>
      <c r="J234" s="1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20"/>
      <c r="D235" s="3"/>
      <c r="E235" s="3"/>
      <c r="F235" s="10"/>
      <c r="G235" s="10"/>
      <c r="H235" s="10"/>
      <c r="I235" s="1"/>
      <c r="J235" s="1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20"/>
      <c r="D236" s="3"/>
      <c r="E236" s="3"/>
      <c r="F236" s="10"/>
      <c r="G236" s="10"/>
      <c r="H236" s="10"/>
      <c r="I236" s="1"/>
      <c r="J236" s="1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20"/>
      <c r="D237" s="3"/>
      <c r="E237" s="3"/>
      <c r="F237" s="10"/>
      <c r="G237" s="10"/>
      <c r="H237" s="10"/>
      <c r="I237" s="1"/>
      <c r="J237" s="1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20"/>
      <c r="D238" s="3"/>
      <c r="E238" s="3"/>
      <c r="F238" s="10"/>
      <c r="G238" s="10"/>
      <c r="H238" s="10"/>
      <c r="I238" s="1"/>
      <c r="J238" s="1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20"/>
      <c r="D239" s="3"/>
      <c r="E239" s="3"/>
      <c r="F239" s="10"/>
      <c r="G239" s="10"/>
      <c r="H239" s="10"/>
      <c r="I239" s="1"/>
      <c r="J239" s="1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20"/>
      <c r="D240" s="3"/>
      <c r="E240" s="3"/>
      <c r="F240" s="10"/>
      <c r="G240" s="10"/>
      <c r="H240" s="10"/>
      <c r="I240" s="1"/>
      <c r="J240" s="1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20"/>
      <c r="D241" s="3"/>
      <c r="E241" s="3"/>
      <c r="F241" s="10"/>
      <c r="G241" s="10"/>
      <c r="H241" s="10"/>
      <c r="I241" s="1"/>
      <c r="J241" s="1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20"/>
      <c r="D242" s="3"/>
      <c r="E242" s="3"/>
      <c r="F242" s="10"/>
      <c r="G242" s="10"/>
      <c r="H242" s="10"/>
      <c r="I242" s="1"/>
      <c r="J242" s="1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20"/>
      <c r="D243" s="3"/>
      <c r="E243" s="3"/>
      <c r="F243" s="10"/>
      <c r="G243" s="10"/>
      <c r="H243" s="10"/>
      <c r="I243" s="1"/>
      <c r="J243" s="1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20"/>
      <c r="D244" s="3"/>
      <c r="E244" s="3"/>
      <c r="F244" s="10"/>
      <c r="G244" s="10"/>
      <c r="H244" s="10"/>
      <c r="I244" s="1"/>
      <c r="J244" s="1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20"/>
      <c r="D245" s="3"/>
      <c r="E245" s="3"/>
      <c r="F245" s="10"/>
      <c r="G245" s="10"/>
      <c r="H245" s="10"/>
      <c r="I245" s="1"/>
      <c r="J245" s="1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20"/>
      <c r="D246" s="3"/>
      <c r="E246" s="3"/>
      <c r="F246" s="10"/>
      <c r="G246" s="10"/>
      <c r="H246" s="10"/>
      <c r="I246" s="1"/>
      <c r="J246" s="1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20"/>
      <c r="D247" s="3"/>
      <c r="E247" s="3"/>
      <c r="F247" s="10"/>
      <c r="G247" s="10"/>
      <c r="H247" s="10"/>
      <c r="I247" s="1"/>
      <c r="J247" s="1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20"/>
      <c r="D248" s="3"/>
      <c r="E248" s="3"/>
      <c r="F248" s="10"/>
      <c r="G248" s="10"/>
      <c r="H248" s="10"/>
      <c r="I248" s="1"/>
      <c r="J248" s="1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20"/>
      <c r="D249" s="3"/>
      <c r="E249" s="3"/>
      <c r="F249" s="10"/>
      <c r="G249" s="10"/>
      <c r="H249" s="10"/>
      <c r="I249" s="1"/>
      <c r="J249" s="1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20"/>
      <c r="D250" s="3"/>
      <c r="E250" s="3"/>
      <c r="F250" s="10"/>
      <c r="G250" s="10"/>
      <c r="H250" s="10"/>
      <c r="I250" s="1"/>
      <c r="J250" s="1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20"/>
      <c r="D251" s="3"/>
      <c r="E251" s="3"/>
      <c r="F251" s="10"/>
      <c r="G251" s="10"/>
      <c r="H251" s="10"/>
      <c r="I251" s="1"/>
      <c r="J251" s="1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20"/>
      <c r="D252" s="3"/>
      <c r="E252" s="3"/>
      <c r="F252" s="10"/>
      <c r="G252" s="10"/>
      <c r="H252" s="10"/>
      <c r="I252" s="1"/>
      <c r="J252" s="1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20"/>
      <c r="D253" s="3"/>
      <c r="E253" s="3"/>
      <c r="F253" s="10"/>
      <c r="G253" s="10"/>
      <c r="H253" s="10"/>
      <c r="I253" s="1"/>
      <c r="J253" s="1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20"/>
      <c r="D254" s="3"/>
      <c r="E254" s="3"/>
      <c r="F254" s="10"/>
      <c r="G254" s="10"/>
      <c r="H254" s="10"/>
      <c r="I254" s="1"/>
      <c r="J254" s="1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20"/>
      <c r="D255" s="3"/>
      <c r="E255" s="3"/>
      <c r="F255" s="10"/>
      <c r="G255" s="10"/>
      <c r="H255" s="10"/>
      <c r="I255" s="1"/>
      <c r="J255" s="1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20"/>
      <c r="D256" s="3"/>
      <c r="E256" s="3"/>
      <c r="F256" s="10"/>
      <c r="G256" s="10"/>
      <c r="H256" s="10"/>
      <c r="I256" s="1"/>
      <c r="J256" s="1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20"/>
      <c r="D257" s="3"/>
      <c r="E257" s="3"/>
      <c r="F257" s="10"/>
      <c r="G257" s="10"/>
      <c r="H257" s="10"/>
      <c r="I257" s="1"/>
      <c r="J257" s="1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20"/>
      <c r="D258" s="3"/>
      <c r="E258" s="3"/>
      <c r="F258" s="10"/>
      <c r="G258" s="10"/>
      <c r="H258" s="10"/>
      <c r="I258" s="1"/>
      <c r="J258" s="1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20"/>
      <c r="D259" s="3"/>
      <c r="E259" s="3"/>
      <c r="F259" s="10"/>
      <c r="G259" s="10"/>
      <c r="H259" s="10"/>
      <c r="I259" s="1"/>
      <c r="J259" s="1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20"/>
      <c r="D260" s="3"/>
      <c r="E260" s="3"/>
      <c r="F260" s="10"/>
      <c r="G260" s="10"/>
      <c r="H260" s="10"/>
      <c r="I260" s="1"/>
      <c r="J260" s="1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20"/>
      <c r="D261" s="3"/>
      <c r="E261" s="3"/>
      <c r="F261" s="10"/>
      <c r="G261" s="10"/>
      <c r="H261" s="10"/>
      <c r="I261" s="1"/>
      <c r="J261" s="1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20"/>
      <c r="D262" s="3"/>
      <c r="E262" s="3"/>
      <c r="F262" s="10"/>
      <c r="G262" s="10"/>
      <c r="H262" s="10"/>
      <c r="I262" s="1"/>
      <c r="J262" s="1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20"/>
      <c r="D263" s="3"/>
      <c r="E263" s="3"/>
      <c r="F263" s="10"/>
      <c r="G263" s="10"/>
      <c r="H263" s="10"/>
      <c r="I263" s="1"/>
      <c r="J263" s="1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20"/>
      <c r="D264" s="3"/>
      <c r="E264" s="3"/>
      <c r="F264" s="10"/>
      <c r="G264" s="10"/>
      <c r="H264" s="10"/>
      <c r="I264" s="1"/>
      <c r="J264" s="1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20"/>
      <c r="D265" s="3"/>
      <c r="E265" s="3"/>
      <c r="F265" s="10"/>
      <c r="G265" s="10"/>
      <c r="H265" s="10"/>
      <c r="I265" s="1"/>
      <c r="J265" s="1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20"/>
      <c r="D266" s="3"/>
      <c r="E266" s="3"/>
      <c r="F266" s="10"/>
      <c r="G266" s="10"/>
      <c r="H266" s="10"/>
      <c r="I266" s="1"/>
      <c r="J266" s="1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20"/>
      <c r="D267" s="3"/>
      <c r="E267" s="3"/>
      <c r="F267" s="10"/>
      <c r="G267" s="10"/>
      <c r="H267" s="10"/>
      <c r="I267" s="1"/>
      <c r="J267" s="1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20"/>
      <c r="D268" s="3"/>
      <c r="E268" s="3"/>
      <c r="F268" s="10"/>
      <c r="G268" s="10"/>
      <c r="H268" s="10"/>
      <c r="I268" s="1"/>
      <c r="J268" s="1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20"/>
      <c r="D269" s="3"/>
      <c r="E269" s="3"/>
      <c r="F269" s="10"/>
      <c r="G269" s="10"/>
      <c r="H269" s="10"/>
      <c r="I269" s="1"/>
      <c r="J269" s="1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20"/>
      <c r="D270" s="3"/>
      <c r="E270" s="3"/>
      <c r="F270" s="10"/>
      <c r="G270" s="10"/>
      <c r="H270" s="10"/>
      <c r="I270" s="1"/>
      <c r="J270" s="1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20"/>
      <c r="D271" s="3"/>
      <c r="E271" s="3"/>
      <c r="F271" s="10"/>
      <c r="G271" s="10"/>
      <c r="H271" s="10"/>
      <c r="I271" s="1"/>
      <c r="J271" s="1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20"/>
      <c r="D272" s="3"/>
      <c r="E272" s="3"/>
      <c r="F272" s="10"/>
      <c r="G272" s="10"/>
      <c r="H272" s="10"/>
      <c r="I272" s="1"/>
      <c r="J272" s="1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20"/>
      <c r="D273" s="3"/>
      <c r="E273" s="3"/>
      <c r="F273" s="10"/>
      <c r="G273" s="10"/>
      <c r="H273" s="10"/>
      <c r="I273" s="1"/>
      <c r="J273" s="1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20"/>
      <c r="D274" s="3"/>
      <c r="E274" s="3"/>
      <c r="F274" s="10"/>
      <c r="G274" s="10"/>
      <c r="H274" s="10"/>
      <c r="I274" s="1"/>
      <c r="J274" s="1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20"/>
      <c r="D275" s="3"/>
      <c r="E275" s="3"/>
      <c r="F275" s="10"/>
      <c r="G275" s="10"/>
      <c r="H275" s="10"/>
      <c r="I275" s="1"/>
      <c r="J275" s="1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20"/>
      <c r="D276" s="3"/>
      <c r="E276" s="3"/>
      <c r="F276" s="10"/>
      <c r="G276" s="10"/>
      <c r="H276" s="10"/>
      <c r="I276" s="1"/>
      <c r="J276" s="1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20"/>
      <c r="D277" s="3"/>
      <c r="E277" s="3"/>
      <c r="F277" s="10"/>
      <c r="G277" s="10"/>
      <c r="H277" s="10"/>
      <c r="I277" s="1"/>
      <c r="J277" s="1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20"/>
      <c r="D278" s="3"/>
      <c r="E278" s="3"/>
      <c r="F278" s="10"/>
      <c r="G278" s="10"/>
      <c r="H278" s="10"/>
      <c r="I278" s="1"/>
      <c r="J278" s="1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20"/>
      <c r="D279" s="3"/>
      <c r="E279" s="3"/>
      <c r="F279" s="10"/>
      <c r="G279" s="10"/>
      <c r="H279" s="10"/>
      <c r="I279" s="1"/>
      <c r="J279" s="1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20"/>
      <c r="D280" s="3"/>
      <c r="E280" s="3"/>
      <c r="F280" s="10"/>
      <c r="G280" s="10"/>
      <c r="H280" s="10"/>
      <c r="I280" s="1"/>
      <c r="J280" s="1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20"/>
      <c r="D281" s="3"/>
      <c r="E281" s="3"/>
      <c r="F281" s="10"/>
      <c r="G281" s="10"/>
      <c r="H281" s="10"/>
      <c r="I281" s="1"/>
      <c r="J281" s="1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20"/>
      <c r="D282" s="3"/>
      <c r="E282" s="3"/>
      <c r="F282" s="10"/>
      <c r="G282" s="10"/>
      <c r="H282" s="10"/>
      <c r="I282" s="1"/>
      <c r="J282" s="1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20"/>
      <c r="D283" s="3"/>
      <c r="E283" s="3"/>
      <c r="F283" s="10"/>
      <c r="G283" s="10"/>
      <c r="H283" s="10"/>
      <c r="I283" s="1"/>
      <c r="J283" s="1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20"/>
      <c r="D284" s="3"/>
      <c r="E284" s="3"/>
      <c r="F284" s="10"/>
      <c r="G284" s="10"/>
      <c r="H284" s="10"/>
      <c r="I284" s="1"/>
      <c r="J284" s="1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20"/>
      <c r="D285" s="3"/>
      <c r="E285" s="3"/>
      <c r="F285" s="10"/>
      <c r="G285" s="10"/>
      <c r="H285" s="10"/>
      <c r="I285" s="1"/>
      <c r="J285" s="1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20"/>
      <c r="D286" s="3"/>
      <c r="E286" s="3"/>
      <c r="F286" s="10"/>
      <c r="G286" s="10"/>
      <c r="H286" s="10"/>
      <c r="I286" s="1"/>
      <c r="J286" s="1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20"/>
      <c r="D287" s="3"/>
      <c r="E287" s="3"/>
      <c r="F287" s="10"/>
      <c r="G287" s="10"/>
      <c r="H287" s="10"/>
      <c r="I287" s="1"/>
      <c r="J287" s="1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20"/>
      <c r="D288" s="3"/>
      <c r="E288" s="3"/>
      <c r="F288" s="10"/>
      <c r="G288" s="10"/>
      <c r="H288" s="10"/>
      <c r="I288" s="1"/>
      <c r="J288" s="1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20"/>
      <c r="D289" s="3"/>
      <c r="E289" s="3"/>
      <c r="F289" s="10"/>
      <c r="G289" s="10"/>
      <c r="H289" s="10"/>
      <c r="I289" s="1"/>
      <c r="J289" s="1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20"/>
      <c r="D290" s="3"/>
      <c r="E290" s="3"/>
      <c r="F290" s="10"/>
      <c r="G290" s="10"/>
      <c r="H290" s="10"/>
      <c r="I290" s="1"/>
      <c r="J290" s="1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20"/>
      <c r="D291" s="3"/>
      <c r="E291" s="3"/>
      <c r="F291" s="10"/>
      <c r="G291" s="10"/>
      <c r="H291" s="10"/>
      <c r="I291" s="1"/>
      <c r="J291" s="1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20"/>
      <c r="D292" s="3"/>
      <c r="E292" s="3"/>
      <c r="F292" s="10"/>
      <c r="G292" s="10"/>
      <c r="H292" s="10"/>
      <c r="I292" s="1"/>
      <c r="J292" s="1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20"/>
      <c r="D293" s="3"/>
      <c r="E293" s="3"/>
      <c r="F293" s="10"/>
      <c r="G293" s="10"/>
      <c r="H293" s="10"/>
      <c r="I293" s="1"/>
      <c r="J293" s="1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20"/>
      <c r="D294" s="3"/>
      <c r="E294" s="3"/>
      <c r="F294" s="10"/>
      <c r="G294" s="10"/>
      <c r="H294" s="10"/>
      <c r="I294" s="1"/>
      <c r="J294" s="1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20"/>
      <c r="D295" s="3"/>
      <c r="E295" s="3"/>
      <c r="F295" s="10"/>
      <c r="G295" s="10"/>
      <c r="H295" s="10"/>
      <c r="I295" s="1"/>
      <c r="J295" s="1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20"/>
      <c r="D296" s="3"/>
      <c r="E296" s="3"/>
      <c r="F296" s="10"/>
      <c r="G296" s="10"/>
      <c r="H296" s="10"/>
      <c r="I296" s="1"/>
      <c r="J296" s="1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20"/>
      <c r="D297" s="3"/>
      <c r="E297" s="3"/>
      <c r="F297" s="10"/>
      <c r="G297" s="10"/>
      <c r="H297" s="10"/>
      <c r="I297" s="1"/>
      <c r="J297" s="1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20"/>
      <c r="D298" s="3"/>
      <c r="E298" s="3"/>
      <c r="F298" s="10"/>
      <c r="G298" s="10"/>
      <c r="H298" s="10"/>
      <c r="I298" s="1"/>
      <c r="J298" s="1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20"/>
      <c r="D299" s="3"/>
      <c r="E299" s="3"/>
      <c r="F299" s="10"/>
      <c r="G299" s="10"/>
      <c r="H299" s="10"/>
      <c r="I299" s="1"/>
      <c r="J299" s="1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20"/>
      <c r="D300" s="3"/>
      <c r="E300" s="3"/>
      <c r="F300" s="10"/>
      <c r="G300" s="10"/>
      <c r="H300" s="10"/>
      <c r="I300" s="1"/>
      <c r="J300" s="1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20"/>
      <c r="D301" s="3"/>
      <c r="E301" s="3"/>
      <c r="F301" s="10"/>
      <c r="G301" s="10"/>
      <c r="H301" s="10"/>
      <c r="I301" s="1"/>
      <c r="J301" s="1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20"/>
      <c r="D302" s="3"/>
      <c r="E302" s="3"/>
      <c r="F302" s="10"/>
      <c r="G302" s="10"/>
      <c r="H302" s="10"/>
      <c r="I302" s="1"/>
      <c r="J302" s="1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20"/>
      <c r="D303" s="3"/>
      <c r="E303" s="3"/>
      <c r="F303" s="10"/>
      <c r="G303" s="10"/>
      <c r="H303" s="10"/>
      <c r="I303" s="1"/>
      <c r="J303" s="1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20"/>
      <c r="D304" s="3"/>
      <c r="E304" s="3"/>
      <c r="F304" s="10"/>
      <c r="G304" s="10"/>
      <c r="H304" s="10"/>
      <c r="I304" s="1"/>
      <c r="J304" s="1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20"/>
      <c r="D305" s="3"/>
      <c r="E305" s="3"/>
      <c r="F305" s="10"/>
      <c r="G305" s="10"/>
      <c r="H305" s="10"/>
      <c r="I305" s="1"/>
      <c r="J305" s="1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20"/>
      <c r="D306" s="3"/>
      <c r="E306" s="3"/>
      <c r="F306" s="10"/>
      <c r="G306" s="10"/>
      <c r="H306" s="10"/>
      <c r="I306" s="1"/>
      <c r="J306" s="1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20"/>
      <c r="D307" s="3"/>
      <c r="E307" s="3"/>
      <c r="F307" s="10"/>
      <c r="G307" s="10"/>
      <c r="H307" s="10"/>
      <c r="I307" s="1"/>
      <c r="J307" s="1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20"/>
      <c r="D308" s="3"/>
      <c r="E308" s="3"/>
      <c r="F308" s="10"/>
      <c r="G308" s="10"/>
      <c r="H308" s="10"/>
      <c r="I308" s="1"/>
      <c r="J308" s="1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20"/>
      <c r="D309" s="3"/>
      <c r="E309" s="3"/>
      <c r="F309" s="10"/>
      <c r="G309" s="10"/>
      <c r="H309" s="10"/>
      <c r="I309" s="1"/>
      <c r="J309" s="1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20"/>
      <c r="D310" s="3"/>
      <c r="E310" s="3"/>
      <c r="F310" s="10"/>
      <c r="G310" s="10"/>
      <c r="H310" s="10"/>
      <c r="I310" s="1"/>
      <c r="J310" s="1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20"/>
      <c r="D311" s="3"/>
      <c r="E311" s="3"/>
      <c r="F311" s="10"/>
      <c r="G311" s="10"/>
      <c r="H311" s="10"/>
      <c r="I311" s="1"/>
      <c r="J311" s="1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20"/>
      <c r="D312" s="3"/>
      <c r="E312" s="3"/>
      <c r="F312" s="10"/>
      <c r="G312" s="10"/>
      <c r="H312" s="10"/>
      <c r="I312" s="1"/>
      <c r="J312" s="1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20"/>
      <c r="D313" s="3"/>
      <c r="E313" s="3"/>
      <c r="F313" s="10"/>
      <c r="G313" s="10"/>
      <c r="H313" s="10"/>
      <c r="I313" s="1"/>
      <c r="J313" s="1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20"/>
      <c r="D314" s="3"/>
      <c r="E314" s="3"/>
      <c r="F314" s="10"/>
      <c r="G314" s="10"/>
      <c r="H314" s="10"/>
      <c r="I314" s="1"/>
      <c r="J314" s="1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20"/>
      <c r="D315" s="3"/>
      <c r="E315" s="3"/>
      <c r="F315" s="10"/>
      <c r="G315" s="10"/>
      <c r="H315" s="10"/>
      <c r="I315" s="1"/>
      <c r="J315" s="1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20"/>
      <c r="D316" s="3"/>
      <c r="E316" s="3"/>
      <c r="F316" s="10"/>
      <c r="G316" s="10"/>
      <c r="H316" s="10"/>
      <c r="I316" s="1"/>
      <c r="J316" s="1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20"/>
      <c r="D317" s="3"/>
      <c r="E317" s="3"/>
      <c r="F317" s="10"/>
      <c r="G317" s="10"/>
      <c r="H317" s="10"/>
      <c r="I317" s="1"/>
      <c r="J317" s="1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20"/>
      <c r="D318" s="3"/>
      <c r="E318" s="3"/>
      <c r="F318" s="10"/>
      <c r="G318" s="10"/>
      <c r="H318" s="10"/>
      <c r="I318" s="1"/>
      <c r="J318" s="1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20"/>
      <c r="D319" s="3"/>
      <c r="E319" s="3"/>
      <c r="F319" s="10"/>
      <c r="G319" s="10"/>
      <c r="H319" s="10"/>
      <c r="I319" s="1"/>
      <c r="J319" s="1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20"/>
      <c r="D320" s="3"/>
      <c r="E320" s="3"/>
      <c r="F320" s="10"/>
      <c r="G320" s="10"/>
      <c r="H320" s="10"/>
      <c r="I320" s="1"/>
      <c r="J320" s="1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20"/>
      <c r="D321" s="3"/>
      <c r="E321" s="3"/>
      <c r="F321" s="10"/>
      <c r="G321" s="10"/>
      <c r="H321" s="10"/>
      <c r="I321" s="1"/>
      <c r="J321" s="1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20"/>
      <c r="D322" s="3"/>
      <c r="E322" s="3"/>
      <c r="F322" s="10"/>
      <c r="G322" s="10"/>
      <c r="H322" s="10"/>
      <c r="I322" s="1"/>
      <c r="J322" s="1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20"/>
      <c r="D323" s="3"/>
      <c r="E323" s="3"/>
      <c r="F323" s="10"/>
      <c r="G323" s="10"/>
      <c r="H323" s="10"/>
      <c r="I323" s="1"/>
      <c r="J323" s="1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20"/>
      <c r="D324" s="3"/>
      <c r="E324" s="3"/>
      <c r="F324" s="10"/>
      <c r="G324" s="10"/>
      <c r="H324" s="10"/>
      <c r="I324" s="1"/>
      <c r="J324" s="1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20"/>
      <c r="D325" s="3"/>
      <c r="E325" s="3"/>
      <c r="F325" s="10"/>
      <c r="G325" s="10"/>
      <c r="H325" s="10"/>
      <c r="I325" s="1"/>
      <c r="J325" s="1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20"/>
      <c r="D326" s="3"/>
      <c r="E326" s="3"/>
      <c r="F326" s="10"/>
      <c r="G326" s="10"/>
      <c r="H326" s="10"/>
      <c r="I326" s="1"/>
      <c r="J326" s="1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20"/>
      <c r="D327" s="3"/>
      <c r="E327" s="3"/>
      <c r="F327" s="10"/>
      <c r="G327" s="10"/>
      <c r="H327" s="10"/>
      <c r="I327" s="1"/>
      <c r="J327" s="1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20"/>
      <c r="D328" s="3"/>
      <c r="E328" s="3"/>
      <c r="F328" s="10"/>
      <c r="G328" s="10"/>
      <c r="H328" s="10"/>
      <c r="I328" s="1"/>
      <c r="J328" s="1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20"/>
      <c r="D329" s="3"/>
      <c r="E329" s="3"/>
      <c r="F329" s="10"/>
      <c r="G329" s="10"/>
      <c r="H329" s="10"/>
      <c r="I329" s="1"/>
      <c r="J329" s="1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20"/>
      <c r="D330" s="3"/>
      <c r="E330" s="3"/>
      <c r="F330" s="10"/>
      <c r="G330" s="10"/>
      <c r="H330" s="10"/>
      <c r="I330" s="1"/>
      <c r="J330" s="1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20"/>
      <c r="D331" s="3"/>
      <c r="E331" s="3"/>
      <c r="F331" s="10"/>
      <c r="G331" s="10"/>
      <c r="H331" s="10"/>
      <c r="I331" s="1"/>
      <c r="J331" s="1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20"/>
      <c r="D332" s="3"/>
      <c r="E332" s="3"/>
      <c r="F332" s="10"/>
      <c r="G332" s="10"/>
      <c r="H332" s="10"/>
      <c r="I332" s="1"/>
      <c r="J332" s="1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20"/>
      <c r="D333" s="3"/>
      <c r="E333" s="3"/>
      <c r="F333" s="10"/>
      <c r="G333" s="10"/>
      <c r="H333" s="10"/>
      <c r="I333" s="1"/>
      <c r="J333" s="1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20"/>
      <c r="D334" s="3"/>
      <c r="E334" s="3"/>
      <c r="F334" s="10"/>
      <c r="G334" s="10"/>
      <c r="H334" s="10"/>
      <c r="I334" s="1"/>
      <c r="J334" s="1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20"/>
      <c r="D335" s="3"/>
      <c r="E335" s="3"/>
      <c r="F335" s="10"/>
      <c r="G335" s="10"/>
      <c r="H335" s="10"/>
      <c r="I335" s="1"/>
      <c r="J335" s="1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20"/>
      <c r="D336" s="3"/>
      <c r="E336" s="3"/>
      <c r="F336" s="10"/>
      <c r="G336" s="10"/>
      <c r="H336" s="10"/>
      <c r="I336" s="1"/>
      <c r="J336" s="1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20"/>
      <c r="D337" s="3"/>
      <c r="E337" s="3"/>
      <c r="F337" s="10"/>
      <c r="G337" s="10"/>
      <c r="H337" s="10"/>
      <c r="I337" s="1"/>
      <c r="J337" s="1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20"/>
      <c r="D338" s="3"/>
      <c r="E338" s="3"/>
      <c r="F338" s="10"/>
      <c r="G338" s="10"/>
      <c r="H338" s="10"/>
      <c r="I338" s="1"/>
      <c r="J338" s="1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20"/>
      <c r="D339" s="3"/>
      <c r="E339" s="3"/>
      <c r="F339" s="10"/>
      <c r="G339" s="10"/>
      <c r="H339" s="10"/>
      <c r="I339" s="1"/>
      <c r="J339" s="1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20"/>
      <c r="D340" s="3"/>
      <c r="E340" s="3"/>
      <c r="F340" s="10"/>
      <c r="G340" s="10"/>
      <c r="H340" s="10"/>
      <c r="I340" s="1"/>
      <c r="J340" s="1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20"/>
      <c r="D341" s="3"/>
      <c r="E341" s="3"/>
      <c r="F341" s="10"/>
      <c r="G341" s="10"/>
      <c r="H341" s="10"/>
      <c r="I341" s="1"/>
      <c r="J341" s="1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20"/>
      <c r="D342" s="3"/>
      <c r="E342" s="3"/>
      <c r="F342" s="10"/>
      <c r="G342" s="10"/>
      <c r="H342" s="10"/>
      <c r="I342" s="1"/>
      <c r="J342" s="1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20"/>
      <c r="D343" s="3"/>
      <c r="E343" s="3"/>
      <c r="F343" s="10"/>
      <c r="G343" s="10"/>
      <c r="H343" s="10"/>
      <c r="I343" s="1"/>
      <c r="J343" s="1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20"/>
      <c r="D344" s="3"/>
      <c r="E344" s="3"/>
      <c r="F344" s="10"/>
      <c r="G344" s="10"/>
      <c r="H344" s="10"/>
      <c r="I344" s="1"/>
      <c r="J344" s="1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20"/>
      <c r="D345" s="3"/>
      <c r="E345" s="3"/>
      <c r="F345" s="10"/>
      <c r="G345" s="10"/>
      <c r="H345" s="10"/>
      <c r="I345" s="1"/>
      <c r="J345" s="1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20"/>
      <c r="D346" s="3"/>
      <c r="E346" s="3"/>
      <c r="F346" s="10"/>
      <c r="G346" s="10"/>
      <c r="H346" s="10"/>
      <c r="I346" s="1"/>
      <c r="J346" s="1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20"/>
      <c r="D347" s="3"/>
      <c r="E347" s="3"/>
      <c r="F347" s="10"/>
      <c r="G347" s="10"/>
      <c r="H347" s="10"/>
      <c r="I347" s="1"/>
      <c r="J347" s="1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20"/>
      <c r="D348" s="3"/>
      <c r="E348" s="3"/>
      <c r="F348" s="10"/>
      <c r="G348" s="10"/>
      <c r="H348" s="10"/>
      <c r="I348" s="1"/>
      <c r="J348" s="1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20"/>
      <c r="D349" s="3"/>
      <c r="E349" s="3"/>
      <c r="F349" s="10"/>
      <c r="G349" s="10"/>
      <c r="H349" s="10"/>
      <c r="I349" s="1"/>
      <c r="J349" s="1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20"/>
      <c r="D350" s="3"/>
      <c r="E350" s="3"/>
      <c r="F350" s="10"/>
      <c r="G350" s="10"/>
      <c r="H350" s="10"/>
      <c r="I350" s="1"/>
      <c r="J350" s="1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20"/>
      <c r="D351" s="3"/>
      <c r="E351" s="3"/>
      <c r="F351" s="10"/>
      <c r="G351" s="10"/>
      <c r="H351" s="10"/>
      <c r="I351" s="1"/>
      <c r="J351" s="1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20"/>
      <c r="D352" s="3"/>
      <c r="E352" s="3"/>
      <c r="F352" s="10"/>
      <c r="G352" s="10"/>
      <c r="H352" s="10"/>
      <c r="I352" s="1"/>
      <c r="J352" s="1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20"/>
      <c r="D353" s="3"/>
      <c r="E353" s="3"/>
      <c r="F353" s="10"/>
      <c r="G353" s="10"/>
      <c r="H353" s="10"/>
      <c r="I353" s="1"/>
      <c r="J353" s="1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20"/>
      <c r="D354" s="3"/>
      <c r="E354" s="3"/>
      <c r="F354" s="10"/>
      <c r="G354" s="10"/>
      <c r="H354" s="10"/>
      <c r="I354" s="1"/>
      <c r="J354" s="1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20"/>
      <c r="D355" s="3"/>
      <c r="E355" s="3"/>
      <c r="F355" s="10"/>
      <c r="G355" s="10"/>
      <c r="H355" s="10"/>
      <c r="I355" s="1"/>
      <c r="J355" s="1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20"/>
      <c r="D356" s="3"/>
      <c r="E356" s="3"/>
      <c r="F356" s="10"/>
      <c r="G356" s="10"/>
      <c r="H356" s="10"/>
      <c r="I356" s="1"/>
      <c r="J356" s="1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20"/>
      <c r="D357" s="3"/>
      <c r="E357" s="3"/>
      <c r="F357" s="10"/>
      <c r="G357" s="10"/>
      <c r="H357" s="10"/>
      <c r="I357" s="1"/>
      <c r="J357" s="1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20"/>
      <c r="D358" s="3"/>
      <c r="E358" s="3"/>
      <c r="F358" s="10"/>
      <c r="G358" s="10"/>
      <c r="H358" s="10"/>
      <c r="I358" s="1"/>
      <c r="J358" s="1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20"/>
      <c r="D359" s="3"/>
      <c r="E359" s="3"/>
      <c r="F359" s="10"/>
      <c r="G359" s="10"/>
      <c r="H359" s="10"/>
      <c r="I359" s="1"/>
      <c r="J359" s="1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20"/>
      <c r="D360" s="3"/>
      <c r="E360" s="3"/>
      <c r="F360" s="10"/>
      <c r="G360" s="10"/>
      <c r="H360" s="10"/>
      <c r="I360" s="1"/>
      <c r="J360" s="1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20"/>
      <c r="D361" s="3"/>
      <c r="E361" s="3"/>
      <c r="F361" s="10"/>
      <c r="G361" s="10"/>
      <c r="H361" s="10"/>
      <c r="I361" s="1"/>
      <c r="J361" s="1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20"/>
      <c r="D362" s="3"/>
      <c r="E362" s="3"/>
      <c r="F362" s="10"/>
      <c r="G362" s="10"/>
      <c r="H362" s="10"/>
      <c r="I362" s="1"/>
      <c r="J362" s="1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20"/>
      <c r="D363" s="3"/>
      <c r="E363" s="3"/>
      <c r="F363" s="10"/>
      <c r="G363" s="10"/>
      <c r="H363" s="10"/>
      <c r="I363" s="1"/>
      <c r="J363" s="1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20"/>
      <c r="D364" s="3"/>
      <c r="E364" s="3"/>
      <c r="F364" s="10"/>
      <c r="G364" s="10"/>
      <c r="H364" s="10"/>
      <c r="I364" s="1"/>
      <c r="J364" s="1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20"/>
      <c r="D365" s="3"/>
      <c r="E365" s="3"/>
      <c r="F365" s="10"/>
      <c r="G365" s="10"/>
      <c r="H365" s="10"/>
      <c r="I365" s="1"/>
      <c r="J365" s="1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20"/>
      <c r="D366" s="3"/>
      <c r="E366" s="3"/>
      <c r="F366" s="10"/>
      <c r="G366" s="10"/>
      <c r="H366" s="10"/>
      <c r="I366" s="1"/>
      <c r="J366" s="1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20"/>
      <c r="D367" s="3"/>
      <c r="E367" s="3"/>
      <c r="F367" s="10"/>
      <c r="G367" s="10"/>
      <c r="H367" s="10"/>
      <c r="I367" s="1"/>
      <c r="J367" s="1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20"/>
      <c r="D368" s="3"/>
      <c r="E368" s="3"/>
      <c r="F368" s="10"/>
      <c r="G368" s="10"/>
      <c r="H368" s="10"/>
      <c r="I368" s="1"/>
      <c r="J368" s="1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20"/>
      <c r="D369" s="3"/>
      <c r="E369" s="3"/>
      <c r="F369" s="10"/>
      <c r="G369" s="10"/>
      <c r="H369" s="10"/>
      <c r="I369" s="1"/>
      <c r="J369" s="1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20"/>
      <c r="D370" s="3"/>
      <c r="E370" s="3"/>
      <c r="F370" s="10"/>
      <c r="G370" s="10"/>
      <c r="H370" s="10"/>
      <c r="I370" s="1"/>
      <c r="J370" s="1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20"/>
      <c r="D371" s="3"/>
      <c r="E371" s="3"/>
      <c r="F371" s="10"/>
      <c r="G371" s="10"/>
      <c r="H371" s="10"/>
      <c r="I371" s="1"/>
      <c r="J371" s="1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20"/>
      <c r="D372" s="3"/>
      <c r="E372" s="3"/>
      <c r="F372" s="10"/>
      <c r="G372" s="10"/>
      <c r="H372" s="10"/>
      <c r="I372" s="1"/>
      <c r="J372" s="1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20"/>
      <c r="D373" s="3"/>
      <c r="E373" s="3"/>
      <c r="F373" s="10"/>
      <c r="G373" s="10"/>
      <c r="H373" s="10"/>
      <c r="I373" s="1"/>
      <c r="J373" s="1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20"/>
      <c r="D374" s="3"/>
      <c r="E374" s="3"/>
      <c r="F374" s="10"/>
      <c r="G374" s="10"/>
      <c r="H374" s="10"/>
      <c r="I374" s="1"/>
      <c r="J374" s="1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20"/>
      <c r="D375" s="3"/>
      <c r="E375" s="3"/>
      <c r="F375" s="10"/>
      <c r="G375" s="10"/>
      <c r="H375" s="10"/>
      <c r="I375" s="1"/>
      <c r="J375" s="1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20"/>
      <c r="D376" s="3"/>
      <c r="E376" s="3"/>
      <c r="F376" s="10"/>
      <c r="G376" s="10"/>
      <c r="H376" s="10"/>
      <c r="I376" s="1"/>
      <c r="J376" s="1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20"/>
      <c r="D377" s="3"/>
      <c r="E377" s="3"/>
      <c r="F377" s="10"/>
      <c r="G377" s="10"/>
      <c r="H377" s="10"/>
      <c r="I377" s="1"/>
      <c r="J377" s="1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20"/>
      <c r="D378" s="3"/>
      <c r="E378" s="3"/>
      <c r="F378" s="10"/>
      <c r="G378" s="10"/>
      <c r="H378" s="10"/>
      <c r="I378" s="1"/>
      <c r="J378" s="1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20"/>
      <c r="D379" s="3"/>
      <c r="E379" s="3"/>
      <c r="F379" s="10"/>
      <c r="G379" s="10"/>
      <c r="H379" s="10"/>
      <c r="I379" s="1"/>
      <c r="J379" s="1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20"/>
      <c r="D380" s="3"/>
      <c r="E380" s="3"/>
      <c r="F380" s="10"/>
      <c r="G380" s="10"/>
      <c r="H380" s="10"/>
      <c r="I380" s="1"/>
      <c r="J380" s="1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20"/>
      <c r="D381" s="3"/>
      <c r="E381" s="3"/>
      <c r="F381" s="10"/>
      <c r="G381" s="10"/>
      <c r="H381" s="10"/>
      <c r="I381" s="1"/>
      <c r="J381" s="1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20"/>
      <c r="D382" s="3"/>
      <c r="E382" s="3"/>
      <c r="F382" s="10"/>
      <c r="G382" s="10"/>
      <c r="H382" s="10"/>
      <c r="I382" s="1"/>
      <c r="J382" s="1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20"/>
      <c r="D383" s="3"/>
      <c r="E383" s="3"/>
      <c r="F383" s="10"/>
      <c r="G383" s="10"/>
      <c r="H383" s="10"/>
      <c r="I383" s="1"/>
      <c r="J383" s="1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20"/>
      <c r="D384" s="3"/>
      <c r="E384" s="3"/>
      <c r="F384" s="10"/>
      <c r="G384" s="10"/>
      <c r="H384" s="10"/>
      <c r="I384" s="1"/>
      <c r="J384" s="1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20"/>
      <c r="D385" s="3"/>
      <c r="E385" s="3"/>
      <c r="F385" s="10"/>
      <c r="G385" s="10"/>
      <c r="H385" s="10"/>
      <c r="I385" s="1"/>
      <c r="J385" s="1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20"/>
      <c r="D386" s="3"/>
      <c r="E386" s="3"/>
      <c r="F386" s="10"/>
      <c r="G386" s="10"/>
      <c r="H386" s="10"/>
      <c r="I386" s="1"/>
      <c r="J386" s="1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20"/>
      <c r="D387" s="3"/>
      <c r="E387" s="3"/>
      <c r="F387" s="10"/>
      <c r="G387" s="10"/>
      <c r="H387" s="10"/>
      <c r="I387" s="1"/>
      <c r="J387" s="1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20"/>
      <c r="D388" s="3"/>
      <c r="E388" s="3"/>
      <c r="F388" s="10"/>
      <c r="G388" s="10"/>
      <c r="H388" s="10"/>
      <c r="I388" s="1"/>
      <c r="J388" s="1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20"/>
      <c r="D389" s="3"/>
      <c r="E389" s="3"/>
      <c r="F389" s="10"/>
      <c r="G389" s="10"/>
      <c r="H389" s="10"/>
      <c r="I389" s="1"/>
      <c r="J389" s="1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20"/>
      <c r="D390" s="3"/>
      <c r="E390" s="3"/>
      <c r="F390" s="10"/>
      <c r="G390" s="10"/>
      <c r="H390" s="10"/>
      <c r="I390" s="1"/>
      <c r="J390" s="1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20"/>
      <c r="D391" s="3"/>
      <c r="E391" s="3"/>
      <c r="F391" s="10"/>
      <c r="G391" s="10"/>
      <c r="H391" s="10"/>
      <c r="I391" s="1"/>
      <c r="J391" s="1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20"/>
      <c r="D392" s="3"/>
      <c r="E392" s="3"/>
      <c r="F392" s="10"/>
      <c r="G392" s="10"/>
      <c r="H392" s="10"/>
      <c r="I392" s="1"/>
      <c r="J392" s="1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20"/>
      <c r="D393" s="3"/>
      <c r="E393" s="3"/>
      <c r="F393" s="10"/>
      <c r="G393" s="10"/>
      <c r="H393" s="10"/>
      <c r="I393" s="1"/>
      <c r="J393" s="1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20"/>
      <c r="D394" s="3"/>
      <c r="E394" s="3"/>
      <c r="F394" s="10"/>
      <c r="G394" s="10"/>
      <c r="H394" s="10"/>
      <c r="I394" s="1"/>
      <c r="J394" s="1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20"/>
      <c r="D395" s="3"/>
      <c r="E395" s="3"/>
      <c r="F395" s="10"/>
      <c r="G395" s="10"/>
      <c r="H395" s="10"/>
      <c r="I395" s="1"/>
      <c r="J395" s="1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20"/>
      <c r="D396" s="3"/>
      <c r="E396" s="3"/>
      <c r="F396" s="10"/>
      <c r="G396" s="10"/>
      <c r="H396" s="10"/>
      <c r="I396" s="1"/>
      <c r="J396" s="1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20"/>
      <c r="D397" s="3"/>
      <c r="E397" s="3"/>
      <c r="F397" s="10"/>
      <c r="G397" s="10"/>
      <c r="H397" s="10"/>
      <c r="I397" s="1"/>
      <c r="J397" s="1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20"/>
      <c r="D398" s="3"/>
      <c r="E398" s="3"/>
      <c r="F398" s="10"/>
      <c r="G398" s="10"/>
      <c r="H398" s="10"/>
      <c r="I398" s="1"/>
      <c r="J398" s="1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20"/>
      <c r="D399" s="3"/>
      <c r="E399" s="3"/>
      <c r="F399" s="10"/>
      <c r="G399" s="10"/>
      <c r="H399" s="10"/>
      <c r="I399" s="1"/>
      <c r="J399" s="1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20"/>
      <c r="D400" s="3"/>
      <c r="E400" s="3"/>
      <c r="F400" s="10"/>
      <c r="G400" s="10"/>
      <c r="H400" s="10"/>
      <c r="I400" s="1"/>
      <c r="J400" s="1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20"/>
      <c r="D401" s="3"/>
      <c r="E401" s="3"/>
      <c r="F401" s="10"/>
      <c r="G401" s="10"/>
      <c r="H401" s="10"/>
      <c r="I401" s="1"/>
      <c r="J401" s="1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20"/>
      <c r="D402" s="3"/>
      <c r="E402" s="3"/>
      <c r="F402" s="10"/>
      <c r="G402" s="10"/>
      <c r="H402" s="10"/>
      <c r="I402" s="1"/>
      <c r="J402" s="1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20"/>
      <c r="D403" s="3"/>
      <c r="E403" s="3"/>
      <c r="F403" s="10"/>
      <c r="G403" s="10"/>
      <c r="H403" s="10"/>
      <c r="I403" s="1"/>
      <c r="J403" s="1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20"/>
      <c r="D404" s="3"/>
      <c r="E404" s="3"/>
      <c r="F404" s="10"/>
      <c r="G404" s="10"/>
      <c r="H404" s="10"/>
      <c r="I404" s="1"/>
      <c r="J404" s="1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20"/>
      <c r="D405" s="3"/>
      <c r="E405" s="3"/>
      <c r="F405" s="10"/>
      <c r="G405" s="10"/>
      <c r="H405" s="10"/>
      <c r="I405" s="1"/>
      <c r="J405" s="1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20"/>
      <c r="D406" s="3"/>
      <c r="E406" s="3"/>
      <c r="F406" s="10"/>
      <c r="G406" s="10"/>
      <c r="H406" s="10"/>
      <c r="I406" s="1"/>
      <c r="J406" s="1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20"/>
      <c r="D407" s="3"/>
      <c r="E407" s="3"/>
      <c r="F407" s="10"/>
      <c r="G407" s="10"/>
      <c r="H407" s="10"/>
      <c r="I407" s="1"/>
      <c r="J407" s="1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20"/>
      <c r="D408" s="3"/>
      <c r="E408" s="3"/>
      <c r="F408" s="10"/>
      <c r="G408" s="10"/>
      <c r="H408" s="10"/>
      <c r="I408" s="1"/>
      <c r="J408" s="1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20"/>
      <c r="D409" s="3"/>
      <c r="E409" s="3"/>
      <c r="F409" s="10"/>
      <c r="G409" s="10"/>
      <c r="H409" s="10"/>
      <c r="I409" s="1"/>
      <c r="J409" s="1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20"/>
      <c r="D410" s="3"/>
      <c r="E410" s="3"/>
      <c r="F410" s="10"/>
      <c r="G410" s="10"/>
      <c r="H410" s="10"/>
      <c r="I410" s="1"/>
      <c r="J410" s="1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20"/>
      <c r="D411" s="3"/>
      <c r="E411" s="3"/>
      <c r="F411" s="10"/>
      <c r="G411" s="10"/>
      <c r="H411" s="10"/>
      <c r="I411" s="1"/>
      <c r="J411" s="1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20"/>
      <c r="D412" s="3"/>
      <c r="E412" s="3"/>
      <c r="F412" s="10"/>
      <c r="G412" s="10"/>
      <c r="H412" s="10"/>
      <c r="I412" s="1"/>
      <c r="J412" s="1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20"/>
      <c r="D413" s="3"/>
      <c r="E413" s="3"/>
      <c r="F413" s="10"/>
      <c r="G413" s="10"/>
      <c r="H413" s="10"/>
      <c r="I413" s="1"/>
      <c r="J413" s="1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20"/>
      <c r="D414" s="3"/>
      <c r="E414" s="3"/>
      <c r="F414" s="10"/>
      <c r="G414" s="10"/>
      <c r="H414" s="10"/>
      <c r="I414" s="1"/>
      <c r="J414" s="1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20"/>
      <c r="D415" s="3"/>
      <c r="E415" s="3"/>
      <c r="F415" s="10"/>
      <c r="G415" s="10"/>
      <c r="H415" s="10"/>
      <c r="I415" s="1"/>
      <c r="J415" s="1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20"/>
      <c r="D416" s="3"/>
      <c r="E416" s="3"/>
      <c r="F416" s="10"/>
      <c r="G416" s="10"/>
      <c r="H416" s="10"/>
      <c r="I416" s="1"/>
      <c r="J416" s="1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20"/>
      <c r="D417" s="3"/>
      <c r="E417" s="3"/>
      <c r="F417" s="10"/>
      <c r="G417" s="10"/>
      <c r="H417" s="10"/>
      <c r="I417" s="1"/>
      <c r="J417" s="1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20"/>
      <c r="D418" s="3"/>
      <c r="E418" s="3"/>
      <c r="F418" s="10"/>
      <c r="G418" s="10"/>
      <c r="H418" s="10"/>
      <c r="I418" s="1"/>
      <c r="J418" s="1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20"/>
      <c r="D419" s="3"/>
      <c r="E419" s="3"/>
      <c r="F419" s="10"/>
      <c r="G419" s="10"/>
      <c r="H419" s="10"/>
      <c r="I419" s="1"/>
      <c r="J419" s="1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20"/>
      <c r="D420" s="3"/>
      <c r="E420" s="3"/>
      <c r="F420" s="10"/>
      <c r="G420" s="10"/>
      <c r="H420" s="10"/>
      <c r="I420" s="1"/>
      <c r="J420" s="1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20"/>
      <c r="D421" s="3"/>
      <c r="E421" s="3"/>
      <c r="F421" s="10"/>
      <c r="G421" s="10"/>
      <c r="H421" s="10"/>
      <c r="I421" s="1"/>
      <c r="J421" s="1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20"/>
      <c r="D422" s="3"/>
      <c r="E422" s="3"/>
      <c r="F422" s="10"/>
      <c r="G422" s="10"/>
      <c r="H422" s="10"/>
      <c r="I422" s="1"/>
      <c r="J422" s="1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20"/>
      <c r="D423" s="3"/>
      <c r="E423" s="3"/>
      <c r="F423" s="10"/>
      <c r="G423" s="10"/>
      <c r="H423" s="10"/>
      <c r="I423" s="1"/>
      <c r="J423" s="1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20"/>
      <c r="D424" s="3"/>
      <c r="E424" s="3"/>
      <c r="F424" s="10"/>
      <c r="G424" s="10"/>
      <c r="H424" s="10"/>
      <c r="I424" s="1"/>
      <c r="J424" s="1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20"/>
      <c r="D425" s="3"/>
      <c r="E425" s="3"/>
      <c r="F425" s="10"/>
      <c r="G425" s="10"/>
      <c r="H425" s="10"/>
      <c r="I425" s="1"/>
      <c r="J425" s="1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20"/>
      <c r="D426" s="3"/>
      <c r="E426" s="3"/>
      <c r="F426" s="10"/>
      <c r="G426" s="10"/>
      <c r="H426" s="10"/>
      <c r="I426" s="1"/>
      <c r="J426" s="1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20"/>
      <c r="D427" s="3"/>
      <c r="E427" s="3"/>
      <c r="F427" s="10"/>
      <c r="G427" s="10"/>
      <c r="H427" s="10"/>
      <c r="I427" s="1"/>
      <c r="J427" s="1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20"/>
      <c r="D428" s="3"/>
      <c r="E428" s="3"/>
      <c r="F428" s="10"/>
      <c r="G428" s="10"/>
      <c r="H428" s="10"/>
      <c r="I428" s="1"/>
      <c r="J428" s="1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20"/>
      <c r="D429" s="3"/>
      <c r="E429" s="3"/>
      <c r="F429" s="10"/>
      <c r="G429" s="10"/>
      <c r="H429" s="10"/>
      <c r="I429" s="1"/>
      <c r="J429" s="1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20"/>
      <c r="D430" s="3"/>
      <c r="E430" s="3"/>
      <c r="F430" s="10"/>
      <c r="G430" s="10"/>
      <c r="H430" s="10"/>
      <c r="I430" s="1"/>
      <c r="J430" s="1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20"/>
      <c r="D431" s="3"/>
      <c r="E431" s="3"/>
      <c r="F431" s="10"/>
      <c r="G431" s="10"/>
      <c r="H431" s="10"/>
      <c r="I431" s="1"/>
      <c r="J431" s="1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20"/>
      <c r="D432" s="3"/>
      <c r="E432" s="3"/>
      <c r="F432" s="10"/>
      <c r="G432" s="10"/>
      <c r="H432" s="10"/>
      <c r="I432" s="1"/>
      <c r="J432" s="1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20"/>
      <c r="D433" s="3"/>
      <c r="E433" s="3"/>
      <c r="F433" s="10"/>
      <c r="G433" s="10"/>
      <c r="H433" s="10"/>
      <c r="I433" s="1"/>
      <c r="J433" s="1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20"/>
      <c r="D434" s="3"/>
      <c r="E434" s="3"/>
      <c r="F434" s="10"/>
      <c r="G434" s="10"/>
      <c r="H434" s="10"/>
      <c r="I434" s="1"/>
      <c r="J434" s="1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20"/>
      <c r="D435" s="3"/>
      <c r="E435" s="3"/>
      <c r="F435" s="10"/>
      <c r="G435" s="10"/>
      <c r="H435" s="10"/>
      <c r="I435" s="1"/>
      <c r="J435" s="1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20"/>
      <c r="D436" s="3"/>
      <c r="E436" s="3"/>
      <c r="F436" s="10"/>
      <c r="G436" s="10"/>
      <c r="H436" s="10"/>
      <c r="I436" s="1"/>
      <c r="J436" s="1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20"/>
      <c r="D437" s="3"/>
      <c r="E437" s="3"/>
      <c r="F437" s="10"/>
      <c r="G437" s="10"/>
      <c r="H437" s="10"/>
      <c r="I437" s="1"/>
      <c r="J437" s="1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20"/>
      <c r="D438" s="3"/>
      <c r="E438" s="3"/>
      <c r="F438" s="10"/>
      <c r="G438" s="10"/>
      <c r="H438" s="10"/>
      <c r="I438" s="1"/>
      <c r="J438" s="1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20"/>
      <c r="D439" s="3"/>
      <c r="E439" s="3"/>
      <c r="F439" s="10"/>
      <c r="G439" s="10"/>
      <c r="H439" s="10"/>
      <c r="I439" s="1"/>
      <c r="J439" s="1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20"/>
      <c r="D440" s="3"/>
      <c r="E440" s="3"/>
      <c r="F440" s="10"/>
      <c r="G440" s="10"/>
      <c r="H440" s="10"/>
      <c r="I440" s="1"/>
      <c r="J440" s="1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20"/>
      <c r="D441" s="3"/>
      <c r="E441" s="3"/>
      <c r="F441" s="10"/>
      <c r="G441" s="10"/>
      <c r="H441" s="10"/>
      <c r="I441" s="1"/>
      <c r="J441" s="1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20"/>
      <c r="D442" s="3"/>
      <c r="E442" s="3"/>
      <c r="F442" s="10"/>
      <c r="G442" s="10"/>
      <c r="H442" s="10"/>
      <c r="I442" s="1"/>
      <c r="J442" s="1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20"/>
      <c r="D443" s="3"/>
      <c r="E443" s="3"/>
      <c r="F443" s="10"/>
      <c r="G443" s="10"/>
      <c r="H443" s="10"/>
      <c r="I443" s="1"/>
      <c r="J443" s="1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20"/>
      <c r="D444" s="3"/>
      <c r="E444" s="3"/>
      <c r="F444" s="10"/>
      <c r="G444" s="10"/>
      <c r="H444" s="10"/>
      <c r="I444" s="1"/>
      <c r="J444" s="1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20"/>
      <c r="D445" s="3"/>
      <c r="E445" s="3"/>
      <c r="F445" s="10"/>
      <c r="G445" s="10"/>
      <c r="H445" s="10"/>
      <c r="I445" s="1"/>
      <c r="J445" s="1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20"/>
      <c r="D446" s="3"/>
      <c r="E446" s="3"/>
      <c r="F446" s="10"/>
      <c r="G446" s="10"/>
      <c r="H446" s="10"/>
      <c r="I446" s="1"/>
      <c r="J446" s="1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20"/>
      <c r="D447" s="3"/>
      <c r="E447" s="3"/>
      <c r="F447" s="10"/>
      <c r="G447" s="10"/>
      <c r="H447" s="10"/>
      <c r="I447" s="1"/>
      <c r="J447" s="1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20"/>
      <c r="D448" s="3"/>
      <c r="E448" s="3"/>
      <c r="F448" s="10"/>
      <c r="G448" s="10"/>
      <c r="H448" s="10"/>
      <c r="I448" s="1"/>
      <c r="J448" s="1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20"/>
      <c r="D449" s="3"/>
      <c r="E449" s="3"/>
      <c r="F449" s="10"/>
      <c r="G449" s="10"/>
      <c r="H449" s="10"/>
      <c r="I449" s="1"/>
      <c r="J449" s="1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20"/>
      <c r="D450" s="3"/>
      <c r="E450" s="3"/>
      <c r="F450" s="10"/>
      <c r="G450" s="10"/>
      <c r="H450" s="10"/>
      <c r="I450" s="1"/>
      <c r="J450" s="1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20"/>
      <c r="D451" s="3"/>
      <c r="E451" s="3"/>
      <c r="F451" s="10"/>
      <c r="G451" s="10"/>
      <c r="H451" s="10"/>
      <c r="I451" s="1"/>
      <c r="J451" s="1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20"/>
      <c r="D452" s="3"/>
      <c r="E452" s="3"/>
      <c r="F452" s="10"/>
      <c r="G452" s="10"/>
      <c r="H452" s="10"/>
      <c r="I452" s="1"/>
      <c r="J452" s="1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20"/>
      <c r="D453" s="3"/>
      <c r="E453" s="3"/>
      <c r="F453" s="10"/>
      <c r="G453" s="10"/>
      <c r="H453" s="10"/>
      <c r="I453" s="1"/>
      <c r="J453" s="1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20"/>
      <c r="D454" s="3"/>
      <c r="E454" s="3"/>
      <c r="F454" s="10"/>
      <c r="G454" s="10"/>
      <c r="H454" s="10"/>
      <c r="I454" s="1"/>
      <c r="J454" s="1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20"/>
      <c r="D455" s="3"/>
      <c r="E455" s="3"/>
      <c r="F455" s="10"/>
      <c r="G455" s="10"/>
      <c r="H455" s="10"/>
      <c r="I455" s="1"/>
      <c r="J455" s="1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20"/>
      <c r="D456" s="3"/>
      <c r="E456" s="3"/>
      <c r="F456" s="10"/>
      <c r="G456" s="10"/>
      <c r="H456" s="10"/>
      <c r="I456" s="1"/>
      <c r="J456" s="1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20"/>
      <c r="D457" s="3"/>
      <c r="E457" s="3"/>
      <c r="F457" s="10"/>
      <c r="G457" s="10"/>
      <c r="H457" s="10"/>
      <c r="I457" s="1"/>
      <c r="J457" s="1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20"/>
      <c r="D458" s="3"/>
      <c r="E458" s="3"/>
      <c r="F458" s="10"/>
      <c r="G458" s="10"/>
      <c r="H458" s="10"/>
      <c r="I458" s="1"/>
      <c r="J458" s="1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20"/>
      <c r="D459" s="3"/>
      <c r="E459" s="3"/>
      <c r="F459" s="10"/>
      <c r="G459" s="10"/>
      <c r="H459" s="10"/>
      <c r="I459" s="1"/>
      <c r="J459" s="1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20"/>
      <c r="D460" s="3"/>
      <c r="E460" s="3"/>
      <c r="F460" s="10"/>
      <c r="G460" s="10"/>
      <c r="H460" s="10"/>
      <c r="I460" s="1"/>
      <c r="J460" s="1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20"/>
      <c r="D461" s="3"/>
      <c r="E461" s="3"/>
      <c r="F461" s="10"/>
      <c r="G461" s="10"/>
      <c r="H461" s="10"/>
      <c r="I461" s="1"/>
      <c r="J461" s="1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20"/>
      <c r="D462" s="3"/>
      <c r="E462" s="3"/>
      <c r="F462" s="10"/>
      <c r="G462" s="10"/>
      <c r="H462" s="10"/>
      <c r="I462" s="1"/>
      <c r="J462" s="1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20"/>
      <c r="D463" s="3"/>
      <c r="E463" s="3"/>
      <c r="F463" s="10"/>
      <c r="G463" s="10"/>
      <c r="H463" s="10"/>
      <c r="I463" s="1"/>
      <c r="J463" s="1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20"/>
      <c r="D464" s="3"/>
      <c r="E464" s="3"/>
      <c r="F464" s="10"/>
      <c r="G464" s="10"/>
      <c r="H464" s="10"/>
      <c r="I464" s="1"/>
      <c r="J464" s="1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20"/>
      <c r="D465" s="3"/>
      <c r="E465" s="3"/>
      <c r="F465" s="10"/>
      <c r="G465" s="10"/>
      <c r="H465" s="10"/>
      <c r="I465" s="1"/>
      <c r="J465" s="1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20"/>
      <c r="D466" s="3"/>
      <c r="E466" s="3"/>
      <c r="F466" s="10"/>
      <c r="G466" s="10"/>
      <c r="H466" s="10"/>
      <c r="I466" s="1"/>
      <c r="J466" s="1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20"/>
      <c r="D467" s="3"/>
      <c r="E467" s="3"/>
      <c r="F467" s="10"/>
      <c r="G467" s="10"/>
      <c r="H467" s="10"/>
      <c r="I467" s="1"/>
      <c r="J467" s="1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20"/>
      <c r="D468" s="3"/>
      <c r="E468" s="3"/>
      <c r="F468" s="10"/>
      <c r="G468" s="10"/>
      <c r="H468" s="10"/>
      <c r="I468" s="1"/>
      <c r="J468" s="1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20"/>
      <c r="D469" s="3"/>
      <c r="E469" s="3"/>
      <c r="F469" s="10"/>
      <c r="G469" s="10"/>
      <c r="H469" s="10"/>
      <c r="I469" s="1"/>
      <c r="J469" s="1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20"/>
      <c r="D470" s="3"/>
      <c r="E470" s="3"/>
      <c r="F470" s="10"/>
      <c r="G470" s="10"/>
      <c r="H470" s="10"/>
      <c r="I470" s="1"/>
      <c r="J470" s="1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20"/>
      <c r="D471" s="3"/>
      <c r="E471" s="3"/>
      <c r="F471" s="10"/>
      <c r="G471" s="10"/>
      <c r="H471" s="10"/>
      <c r="I471" s="1"/>
      <c r="J471" s="1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20"/>
      <c r="D472" s="3"/>
      <c r="E472" s="3"/>
      <c r="F472" s="10"/>
      <c r="G472" s="10"/>
      <c r="H472" s="10"/>
      <c r="I472" s="1"/>
      <c r="J472" s="1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20"/>
      <c r="D473" s="3"/>
      <c r="E473" s="3"/>
      <c r="F473" s="10"/>
      <c r="G473" s="10"/>
      <c r="H473" s="10"/>
      <c r="I473" s="1"/>
      <c r="J473" s="1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20"/>
      <c r="D474" s="3"/>
      <c r="E474" s="3"/>
      <c r="F474" s="10"/>
      <c r="G474" s="10"/>
      <c r="H474" s="10"/>
      <c r="I474" s="1"/>
      <c r="J474" s="1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20"/>
      <c r="D475" s="3"/>
      <c r="E475" s="3"/>
      <c r="F475" s="10"/>
      <c r="G475" s="10"/>
      <c r="H475" s="10"/>
      <c r="I475" s="1"/>
      <c r="J475" s="1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20"/>
      <c r="D476" s="3"/>
      <c r="E476" s="3"/>
      <c r="F476" s="10"/>
      <c r="G476" s="10"/>
      <c r="H476" s="10"/>
      <c r="I476" s="1"/>
      <c r="J476" s="1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20"/>
      <c r="D477" s="3"/>
      <c r="E477" s="3"/>
      <c r="F477" s="10"/>
      <c r="G477" s="10"/>
      <c r="H477" s="10"/>
      <c r="I477" s="1"/>
      <c r="J477" s="1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20"/>
      <c r="D478" s="3"/>
      <c r="E478" s="3"/>
      <c r="F478" s="10"/>
      <c r="G478" s="10"/>
      <c r="H478" s="10"/>
      <c r="I478" s="1"/>
      <c r="J478" s="1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20"/>
      <c r="D479" s="3"/>
      <c r="E479" s="3"/>
      <c r="F479" s="10"/>
      <c r="G479" s="10"/>
      <c r="H479" s="10"/>
      <c r="I479" s="1"/>
      <c r="J479" s="1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20"/>
      <c r="D480" s="3"/>
      <c r="E480" s="3"/>
      <c r="F480" s="10"/>
      <c r="G480" s="10"/>
      <c r="H480" s="10"/>
      <c r="I480" s="1"/>
      <c r="J480" s="1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20"/>
      <c r="D481" s="3"/>
      <c r="E481" s="3"/>
      <c r="F481" s="10"/>
      <c r="G481" s="10"/>
      <c r="H481" s="10"/>
      <c r="I481" s="1"/>
      <c r="J481" s="1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20"/>
      <c r="D482" s="3"/>
      <c r="E482" s="3"/>
      <c r="F482" s="10"/>
      <c r="G482" s="10"/>
      <c r="H482" s="10"/>
      <c r="I482" s="1"/>
      <c r="J482" s="1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20"/>
      <c r="D483" s="3"/>
      <c r="E483" s="3"/>
      <c r="F483" s="10"/>
      <c r="G483" s="10"/>
      <c r="H483" s="10"/>
      <c r="I483" s="1"/>
      <c r="J483" s="1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20"/>
      <c r="D484" s="3"/>
      <c r="E484" s="3"/>
      <c r="F484" s="10"/>
      <c r="G484" s="10"/>
      <c r="H484" s="10"/>
      <c r="I484" s="1"/>
      <c r="J484" s="1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20"/>
      <c r="D485" s="3"/>
      <c r="E485" s="3"/>
      <c r="F485" s="10"/>
      <c r="G485" s="10"/>
      <c r="H485" s="10"/>
      <c r="I485" s="1"/>
      <c r="J485" s="1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20"/>
      <c r="D486" s="3"/>
      <c r="E486" s="3"/>
      <c r="F486" s="10"/>
      <c r="G486" s="10"/>
      <c r="H486" s="10"/>
      <c r="I486" s="1"/>
      <c r="J486" s="1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20"/>
      <c r="D487" s="3"/>
      <c r="E487" s="3"/>
      <c r="F487" s="10"/>
      <c r="G487" s="10"/>
      <c r="H487" s="10"/>
      <c r="I487" s="1"/>
      <c r="J487" s="1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20"/>
      <c r="D488" s="3"/>
      <c r="E488" s="3"/>
      <c r="F488" s="10"/>
      <c r="G488" s="10"/>
      <c r="H488" s="10"/>
      <c r="I488" s="1"/>
      <c r="J488" s="1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20"/>
      <c r="D489" s="3"/>
      <c r="E489" s="3"/>
      <c r="F489" s="10"/>
      <c r="G489" s="10"/>
      <c r="H489" s="10"/>
      <c r="I489" s="1"/>
      <c r="J489" s="1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20"/>
      <c r="D490" s="3"/>
      <c r="E490" s="3"/>
      <c r="F490" s="10"/>
      <c r="G490" s="10"/>
      <c r="H490" s="10"/>
      <c r="I490" s="1"/>
      <c r="J490" s="1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20"/>
      <c r="D491" s="3"/>
      <c r="E491" s="3"/>
      <c r="F491" s="10"/>
      <c r="G491" s="10"/>
      <c r="H491" s="10"/>
      <c r="I491" s="1"/>
      <c r="J491" s="1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20"/>
      <c r="D492" s="3"/>
      <c r="E492" s="3"/>
      <c r="F492" s="10"/>
      <c r="G492" s="10"/>
      <c r="H492" s="10"/>
      <c r="I492" s="1"/>
      <c r="J492" s="1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20"/>
      <c r="D493" s="3"/>
      <c r="E493" s="3"/>
      <c r="F493" s="10"/>
      <c r="G493" s="10"/>
      <c r="H493" s="10"/>
      <c r="I493" s="1"/>
      <c r="J493" s="1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20"/>
      <c r="D494" s="3"/>
      <c r="E494" s="3"/>
      <c r="F494" s="10"/>
      <c r="G494" s="10"/>
      <c r="H494" s="10"/>
      <c r="I494" s="1"/>
      <c r="J494" s="1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20"/>
      <c r="D495" s="3"/>
      <c r="E495" s="3"/>
      <c r="F495" s="10"/>
      <c r="G495" s="10"/>
      <c r="H495" s="10"/>
      <c r="I495" s="1"/>
      <c r="J495" s="1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20"/>
      <c r="D496" s="3"/>
      <c r="E496" s="3"/>
      <c r="F496" s="10"/>
      <c r="G496" s="10"/>
      <c r="H496" s="10"/>
      <c r="I496" s="1"/>
      <c r="J496" s="1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20"/>
      <c r="D497" s="3"/>
      <c r="E497" s="3"/>
      <c r="F497" s="10"/>
      <c r="G497" s="10"/>
      <c r="H497" s="10"/>
      <c r="I497" s="1"/>
      <c r="J497" s="1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20"/>
      <c r="D498" s="3"/>
      <c r="E498" s="3"/>
      <c r="F498" s="10"/>
      <c r="G498" s="10"/>
      <c r="H498" s="10"/>
      <c r="I498" s="1"/>
      <c r="J498" s="1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20"/>
      <c r="D499" s="3"/>
      <c r="E499" s="3"/>
      <c r="F499" s="10"/>
      <c r="G499" s="10"/>
      <c r="H499" s="10"/>
      <c r="I499" s="1"/>
      <c r="J499" s="1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20"/>
      <c r="D500" s="3"/>
      <c r="E500" s="3"/>
      <c r="F500" s="10"/>
      <c r="G500" s="10"/>
      <c r="H500" s="10"/>
      <c r="I500" s="1"/>
      <c r="J500" s="1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20"/>
      <c r="D501" s="3"/>
      <c r="E501" s="3"/>
      <c r="F501" s="10"/>
      <c r="G501" s="10"/>
      <c r="H501" s="10"/>
      <c r="I501" s="1"/>
      <c r="J501" s="1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20"/>
      <c r="D502" s="3"/>
      <c r="E502" s="3"/>
      <c r="F502" s="10"/>
      <c r="G502" s="10"/>
      <c r="H502" s="10"/>
      <c r="I502" s="1"/>
      <c r="J502" s="1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20"/>
      <c r="D503" s="3"/>
      <c r="E503" s="3"/>
      <c r="F503" s="10"/>
      <c r="G503" s="10"/>
      <c r="H503" s="10"/>
      <c r="I503" s="1"/>
      <c r="J503" s="1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20"/>
      <c r="D504" s="3"/>
      <c r="E504" s="3"/>
      <c r="F504" s="10"/>
      <c r="G504" s="10"/>
      <c r="H504" s="10"/>
      <c r="I504" s="1"/>
      <c r="J504" s="1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20"/>
      <c r="D505" s="3"/>
      <c r="E505" s="3"/>
      <c r="F505" s="10"/>
      <c r="G505" s="10"/>
      <c r="H505" s="10"/>
      <c r="I505" s="1"/>
      <c r="J505" s="1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20"/>
      <c r="D506" s="3"/>
      <c r="E506" s="3"/>
      <c r="F506" s="10"/>
      <c r="G506" s="10"/>
      <c r="H506" s="10"/>
      <c r="I506" s="1"/>
      <c r="J506" s="1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20"/>
      <c r="D507" s="3"/>
      <c r="E507" s="3"/>
      <c r="F507" s="10"/>
      <c r="G507" s="10"/>
      <c r="H507" s="10"/>
      <c r="I507" s="1"/>
      <c r="J507" s="1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20"/>
      <c r="D508" s="3"/>
      <c r="E508" s="3"/>
      <c r="F508" s="10"/>
      <c r="G508" s="10"/>
      <c r="H508" s="10"/>
      <c r="I508" s="1"/>
      <c r="J508" s="1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20"/>
      <c r="D509" s="3"/>
      <c r="E509" s="3"/>
      <c r="F509" s="10"/>
      <c r="G509" s="10"/>
      <c r="H509" s="10"/>
      <c r="I509" s="1"/>
      <c r="J509" s="1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20"/>
      <c r="D510" s="3"/>
      <c r="E510" s="3"/>
      <c r="F510" s="10"/>
      <c r="G510" s="10"/>
      <c r="H510" s="10"/>
      <c r="I510" s="1"/>
      <c r="J510" s="1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20"/>
      <c r="D511" s="3"/>
      <c r="E511" s="3"/>
      <c r="F511" s="10"/>
      <c r="G511" s="10"/>
      <c r="H511" s="10"/>
      <c r="I511" s="1"/>
      <c r="J511" s="1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20"/>
      <c r="D512" s="3"/>
      <c r="E512" s="3"/>
      <c r="F512" s="10"/>
      <c r="G512" s="10"/>
      <c r="H512" s="10"/>
      <c r="I512" s="1"/>
      <c r="J512" s="1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20"/>
      <c r="D513" s="3"/>
      <c r="E513" s="3"/>
      <c r="F513" s="10"/>
      <c r="G513" s="10"/>
      <c r="H513" s="10"/>
      <c r="I513" s="1"/>
      <c r="J513" s="1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20"/>
      <c r="D514" s="3"/>
      <c r="E514" s="3"/>
      <c r="F514" s="10"/>
      <c r="G514" s="10"/>
      <c r="H514" s="10"/>
      <c r="I514" s="1"/>
      <c r="J514" s="1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20"/>
      <c r="D515" s="3"/>
      <c r="E515" s="3"/>
      <c r="F515" s="10"/>
      <c r="G515" s="10"/>
      <c r="H515" s="10"/>
      <c r="I515" s="1"/>
      <c r="J515" s="1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20"/>
      <c r="D516" s="3"/>
      <c r="E516" s="3"/>
      <c r="F516" s="10"/>
      <c r="G516" s="10"/>
      <c r="H516" s="10"/>
      <c r="I516" s="1"/>
      <c r="J516" s="1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20"/>
      <c r="D517" s="3"/>
      <c r="E517" s="3"/>
      <c r="F517" s="10"/>
      <c r="G517" s="10"/>
      <c r="H517" s="10"/>
      <c r="I517" s="1"/>
      <c r="J517" s="1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20"/>
      <c r="D518" s="3"/>
      <c r="E518" s="3"/>
      <c r="F518" s="10"/>
      <c r="G518" s="10"/>
      <c r="H518" s="10"/>
      <c r="I518" s="1"/>
      <c r="J518" s="1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20"/>
      <c r="D519" s="3"/>
      <c r="E519" s="3"/>
      <c r="F519" s="10"/>
      <c r="G519" s="10"/>
      <c r="H519" s="10"/>
      <c r="I519" s="1"/>
      <c r="J519" s="1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20"/>
      <c r="D520" s="3"/>
      <c r="E520" s="3"/>
      <c r="F520" s="10"/>
      <c r="G520" s="10"/>
      <c r="H520" s="10"/>
      <c r="I520" s="1"/>
      <c r="J520" s="1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20"/>
      <c r="D521" s="3"/>
      <c r="E521" s="3"/>
      <c r="F521" s="10"/>
      <c r="G521" s="10"/>
      <c r="H521" s="10"/>
      <c r="I521" s="1"/>
      <c r="J521" s="1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20"/>
      <c r="D522" s="3"/>
      <c r="E522" s="3"/>
      <c r="F522" s="10"/>
      <c r="G522" s="10"/>
      <c r="H522" s="10"/>
      <c r="I522" s="1"/>
      <c r="J522" s="1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20"/>
      <c r="D523" s="3"/>
      <c r="E523" s="3"/>
      <c r="F523" s="10"/>
      <c r="G523" s="10"/>
      <c r="H523" s="10"/>
      <c r="I523" s="1"/>
      <c r="J523" s="1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20"/>
      <c r="D524" s="3"/>
      <c r="E524" s="3"/>
      <c r="F524" s="10"/>
      <c r="G524" s="10"/>
      <c r="H524" s="10"/>
      <c r="I524" s="1"/>
      <c r="J524" s="1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20"/>
      <c r="D525" s="3"/>
      <c r="E525" s="3"/>
      <c r="F525" s="10"/>
      <c r="G525" s="10"/>
      <c r="H525" s="10"/>
      <c r="I525" s="1"/>
      <c r="J525" s="1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20"/>
      <c r="D526" s="3"/>
      <c r="E526" s="3"/>
      <c r="F526" s="10"/>
      <c r="G526" s="10"/>
      <c r="H526" s="10"/>
      <c r="I526" s="1"/>
      <c r="J526" s="1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20"/>
      <c r="D527" s="3"/>
      <c r="E527" s="3"/>
      <c r="F527" s="10"/>
      <c r="G527" s="10"/>
      <c r="H527" s="10"/>
      <c r="I527" s="1"/>
      <c r="J527" s="1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20"/>
      <c r="D528" s="3"/>
      <c r="E528" s="3"/>
      <c r="F528" s="10"/>
      <c r="G528" s="10"/>
      <c r="H528" s="10"/>
      <c r="I528" s="1"/>
      <c r="J528" s="1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20"/>
      <c r="D529" s="3"/>
      <c r="E529" s="3"/>
      <c r="F529" s="10"/>
      <c r="G529" s="10"/>
      <c r="H529" s="10"/>
      <c r="I529" s="1"/>
      <c r="J529" s="1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20"/>
      <c r="D530" s="3"/>
      <c r="E530" s="3"/>
      <c r="F530" s="10"/>
      <c r="G530" s="10"/>
      <c r="H530" s="10"/>
      <c r="I530" s="1"/>
      <c r="J530" s="1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20"/>
      <c r="D531" s="3"/>
      <c r="E531" s="3"/>
      <c r="F531" s="10"/>
      <c r="G531" s="10"/>
      <c r="H531" s="10"/>
      <c r="I531" s="1"/>
      <c r="J531" s="1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20"/>
      <c r="D532" s="3"/>
      <c r="E532" s="3"/>
      <c r="F532" s="10"/>
      <c r="G532" s="10"/>
      <c r="H532" s="10"/>
      <c r="I532" s="1"/>
      <c r="J532" s="1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20"/>
      <c r="D533" s="3"/>
      <c r="E533" s="3"/>
      <c r="F533" s="10"/>
      <c r="G533" s="10"/>
      <c r="H533" s="10"/>
      <c r="I533" s="1"/>
      <c r="J533" s="1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20"/>
      <c r="D534" s="3"/>
      <c r="E534" s="3"/>
      <c r="F534" s="10"/>
      <c r="G534" s="10"/>
      <c r="H534" s="10"/>
      <c r="I534" s="1"/>
      <c r="J534" s="1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20"/>
      <c r="D535" s="3"/>
      <c r="E535" s="3"/>
      <c r="F535" s="10"/>
      <c r="G535" s="10"/>
      <c r="H535" s="10"/>
      <c r="I535" s="1"/>
      <c r="J535" s="1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20"/>
      <c r="D536" s="3"/>
      <c r="E536" s="3"/>
      <c r="F536" s="10"/>
      <c r="G536" s="10"/>
      <c r="H536" s="10"/>
      <c r="I536" s="1"/>
      <c r="J536" s="1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20"/>
      <c r="D537" s="3"/>
      <c r="E537" s="3"/>
      <c r="F537" s="10"/>
      <c r="G537" s="10"/>
      <c r="H537" s="10"/>
      <c r="I537" s="1"/>
      <c r="J537" s="1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20"/>
      <c r="D538" s="3"/>
      <c r="E538" s="3"/>
      <c r="F538" s="10"/>
      <c r="G538" s="10"/>
      <c r="H538" s="10"/>
      <c r="I538" s="1"/>
      <c r="J538" s="1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20"/>
      <c r="D539" s="3"/>
      <c r="E539" s="3"/>
      <c r="F539" s="10"/>
      <c r="G539" s="10"/>
      <c r="H539" s="10"/>
      <c r="I539" s="1"/>
      <c r="J539" s="1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20"/>
      <c r="D540" s="3"/>
      <c r="E540" s="3"/>
      <c r="F540" s="10"/>
      <c r="G540" s="10"/>
      <c r="H540" s="10"/>
      <c r="I540" s="1"/>
      <c r="J540" s="1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20"/>
      <c r="D541" s="3"/>
      <c r="E541" s="3"/>
      <c r="F541" s="10"/>
      <c r="G541" s="10"/>
      <c r="H541" s="10"/>
      <c r="I541" s="1"/>
      <c r="J541" s="1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20"/>
      <c r="D542" s="3"/>
      <c r="E542" s="3"/>
      <c r="F542" s="10"/>
      <c r="G542" s="10"/>
      <c r="H542" s="10"/>
      <c r="I542" s="1"/>
      <c r="J542" s="1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20"/>
      <c r="D543" s="3"/>
      <c r="E543" s="3"/>
      <c r="F543" s="10"/>
      <c r="G543" s="10"/>
      <c r="H543" s="10"/>
      <c r="I543" s="1"/>
      <c r="J543" s="1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20"/>
      <c r="D544" s="3"/>
      <c r="E544" s="3"/>
      <c r="F544" s="10"/>
      <c r="G544" s="10"/>
      <c r="H544" s="10"/>
      <c r="I544" s="1"/>
      <c r="J544" s="1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20"/>
      <c r="D545" s="3"/>
      <c r="E545" s="3"/>
      <c r="F545" s="10"/>
      <c r="G545" s="10"/>
      <c r="H545" s="10"/>
      <c r="I545" s="1"/>
      <c r="J545" s="1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20"/>
      <c r="D546" s="3"/>
      <c r="E546" s="3"/>
      <c r="F546" s="10"/>
      <c r="G546" s="10"/>
      <c r="H546" s="10"/>
      <c r="I546" s="1"/>
      <c r="J546" s="1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20"/>
      <c r="D547" s="3"/>
      <c r="E547" s="3"/>
      <c r="F547" s="10"/>
      <c r="G547" s="10"/>
      <c r="H547" s="10"/>
      <c r="I547" s="1"/>
      <c r="J547" s="1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20"/>
      <c r="D548" s="3"/>
      <c r="E548" s="3"/>
      <c r="F548" s="10"/>
      <c r="G548" s="10"/>
      <c r="H548" s="10"/>
      <c r="I548" s="1"/>
      <c r="J548" s="1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20"/>
      <c r="D549" s="3"/>
      <c r="E549" s="3"/>
      <c r="F549" s="10"/>
      <c r="G549" s="10"/>
      <c r="H549" s="10"/>
      <c r="I549" s="1"/>
      <c r="J549" s="1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20"/>
      <c r="D550" s="3"/>
      <c r="E550" s="3"/>
      <c r="F550" s="10"/>
      <c r="G550" s="10"/>
      <c r="H550" s="10"/>
      <c r="I550" s="1"/>
      <c r="J550" s="1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20"/>
      <c r="D551" s="3"/>
      <c r="E551" s="3"/>
      <c r="F551" s="10"/>
      <c r="G551" s="10"/>
      <c r="H551" s="10"/>
      <c r="I551" s="1"/>
      <c r="J551" s="1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20"/>
      <c r="D552" s="3"/>
      <c r="E552" s="3"/>
      <c r="F552" s="10"/>
      <c r="G552" s="10"/>
      <c r="H552" s="10"/>
      <c r="I552" s="1"/>
      <c r="J552" s="1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20"/>
      <c r="D553" s="3"/>
      <c r="E553" s="3"/>
      <c r="F553" s="10"/>
      <c r="G553" s="10"/>
      <c r="H553" s="10"/>
      <c r="I553" s="1"/>
      <c r="J553" s="1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20"/>
      <c r="D554" s="3"/>
      <c r="E554" s="3"/>
      <c r="F554" s="10"/>
      <c r="G554" s="10"/>
      <c r="H554" s="10"/>
      <c r="I554" s="1"/>
      <c r="J554" s="1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20"/>
      <c r="D555" s="3"/>
      <c r="E555" s="3"/>
      <c r="F555" s="10"/>
      <c r="G555" s="10"/>
      <c r="H555" s="10"/>
      <c r="I555" s="1"/>
      <c r="J555" s="1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20"/>
      <c r="D556" s="3"/>
      <c r="E556" s="3"/>
      <c r="F556" s="10"/>
      <c r="G556" s="10"/>
      <c r="H556" s="10"/>
      <c r="I556" s="1"/>
      <c r="J556" s="1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20"/>
      <c r="D557" s="3"/>
      <c r="E557" s="3"/>
      <c r="F557" s="10"/>
      <c r="G557" s="10"/>
      <c r="H557" s="10"/>
      <c r="I557" s="1"/>
      <c r="J557" s="1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20"/>
      <c r="D558" s="3"/>
      <c r="E558" s="3"/>
      <c r="F558" s="10"/>
      <c r="G558" s="10"/>
      <c r="H558" s="10"/>
      <c r="I558" s="1"/>
      <c r="J558" s="1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20"/>
      <c r="D559" s="3"/>
      <c r="E559" s="3"/>
      <c r="F559" s="10"/>
      <c r="G559" s="10"/>
      <c r="H559" s="10"/>
      <c r="I559" s="1"/>
      <c r="J559" s="1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20"/>
      <c r="D560" s="3"/>
      <c r="E560" s="3"/>
      <c r="F560" s="10"/>
      <c r="G560" s="10"/>
      <c r="H560" s="10"/>
      <c r="I560" s="1"/>
      <c r="J560" s="1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20"/>
      <c r="D561" s="3"/>
      <c r="E561" s="3"/>
      <c r="F561" s="10"/>
      <c r="G561" s="10"/>
      <c r="H561" s="10"/>
      <c r="I561" s="1"/>
      <c r="J561" s="1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20"/>
      <c r="D562" s="3"/>
      <c r="E562" s="3"/>
      <c r="F562" s="10"/>
      <c r="G562" s="10"/>
      <c r="H562" s="10"/>
      <c r="I562" s="1"/>
      <c r="J562" s="1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20"/>
      <c r="D563" s="3"/>
      <c r="E563" s="3"/>
      <c r="F563" s="10"/>
      <c r="G563" s="10"/>
      <c r="H563" s="10"/>
      <c r="I563" s="1"/>
      <c r="J563" s="1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20"/>
      <c r="D564" s="3"/>
      <c r="E564" s="3"/>
      <c r="F564" s="10"/>
      <c r="G564" s="10"/>
      <c r="H564" s="10"/>
      <c r="I564" s="1"/>
      <c r="J564" s="1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20"/>
      <c r="D565" s="3"/>
      <c r="E565" s="3"/>
      <c r="F565" s="10"/>
      <c r="G565" s="10"/>
      <c r="H565" s="10"/>
      <c r="I565" s="1"/>
      <c r="J565" s="1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20"/>
      <c r="D566" s="3"/>
      <c r="E566" s="3"/>
      <c r="F566" s="10"/>
      <c r="G566" s="10"/>
      <c r="H566" s="10"/>
      <c r="I566" s="1"/>
      <c r="J566" s="1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20"/>
      <c r="D567" s="3"/>
      <c r="E567" s="3"/>
      <c r="F567" s="10"/>
      <c r="G567" s="10"/>
      <c r="H567" s="10"/>
      <c r="I567" s="1"/>
      <c r="J567" s="1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20"/>
      <c r="D568" s="3"/>
      <c r="E568" s="3"/>
      <c r="F568" s="10"/>
      <c r="G568" s="10"/>
      <c r="H568" s="10"/>
      <c r="I568" s="1"/>
      <c r="J568" s="1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20"/>
      <c r="D569" s="3"/>
      <c r="E569" s="3"/>
      <c r="F569" s="10"/>
      <c r="G569" s="10"/>
      <c r="H569" s="10"/>
      <c r="I569" s="1"/>
      <c r="J569" s="1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20"/>
      <c r="D570" s="3"/>
      <c r="E570" s="3"/>
      <c r="F570" s="10"/>
      <c r="G570" s="10"/>
      <c r="H570" s="10"/>
      <c r="I570" s="1"/>
      <c r="J570" s="1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20"/>
      <c r="D571" s="3"/>
      <c r="E571" s="3"/>
      <c r="F571" s="10"/>
      <c r="G571" s="10"/>
      <c r="H571" s="10"/>
      <c r="I571" s="1"/>
      <c r="J571" s="1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20"/>
      <c r="D572" s="3"/>
      <c r="E572" s="3"/>
      <c r="F572" s="10"/>
      <c r="G572" s="10"/>
      <c r="H572" s="10"/>
      <c r="I572" s="1"/>
      <c r="J572" s="1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20"/>
      <c r="D573" s="3"/>
      <c r="E573" s="3"/>
      <c r="F573" s="10"/>
      <c r="G573" s="10"/>
      <c r="H573" s="10"/>
      <c r="I573" s="1"/>
      <c r="J573" s="1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20"/>
      <c r="D574" s="3"/>
      <c r="E574" s="3"/>
      <c r="F574" s="10"/>
      <c r="G574" s="10"/>
      <c r="H574" s="10"/>
      <c r="I574" s="1"/>
      <c r="J574" s="1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20"/>
      <c r="D575" s="3"/>
      <c r="E575" s="3"/>
      <c r="F575" s="10"/>
      <c r="G575" s="10"/>
      <c r="H575" s="10"/>
      <c r="I575" s="1"/>
      <c r="J575" s="1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20"/>
      <c r="D576" s="3"/>
      <c r="E576" s="3"/>
      <c r="F576" s="10"/>
      <c r="G576" s="10"/>
      <c r="H576" s="10"/>
      <c r="I576" s="1"/>
      <c r="J576" s="1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20"/>
      <c r="D577" s="3"/>
      <c r="E577" s="3"/>
      <c r="F577" s="10"/>
      <c r="G577" s="10"/>
      <c r="H577" s="10"/>
      <c r="I577" s="1"/>
      <c r="J577" s="1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20"/>
      <c r="D578" s="3"/>
      <c r="E578" s="3"/>
      <c r="F578" s="10"/>
      <c r="G578" s="10"/>
      <c r="H578" s="10"/>
      <c r="I578" s="1"/>
      <c r="J578" s="1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20"/>
      <c r="D579" s="3"/>
      <c r="E579" s="3"/>
      <c r="F579" s="10"/>
      <c r="G579" s="10"/>
      <c r="H579" s="10"/>
      <c r="I579" s="1"/>
      <c r="J579" s="1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20"/>
      <c r="D580" s="3"/>
      <c r="E580" s="3"/>
      <c r="F580" s="10"/>
      <c r="G580" s="10"/>
      <c r="H580" s="10"/>
      <c r="I580" s="1"/>
      <c r="J580" s="1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20"/>
      <c r="D581" s="3"/>
      <c r="E581" s="3"/>
      <c r="F581" s="10"/>
      <c r="G581" s="10"/>
      <c r="H581" s="10"/>
      <c r="I581" s="1"/>
      <c r="J581" s="1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20"/>
      <c r="D582" s="3"/>
      <c r="E582" s="3"/>
      <c r="F582" s="10"/>
      <c r="G582" s="10"/>
      <c r="H582" s="10"/>
      <c r="I582" s="1"/>
      <c r="J582" s="1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20"/>
      <c r="D583" s="3"/>
      <c r="E583" s="3"/>
      <c r="F583" s="10"/>
      <c r="G583" s="10"/>
      <c r="H583" s="10"/>
      <c r="I583" s="1"/>
      <c r="J583" s="1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20"/>
      <c r="D584" s="3"/>
      <c r="E584" s="3"/>
      <c r="F584" s="10"/>
      <c r="G584" s="10"/>
      <c r="H584" s="10"/>
      <c r="I584" s="1"/>
      <c r="J584" s="1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20"/>
      <c r="D585" s="3"/>
      <c r="E585" s="3"/>
      <c r="F585" s="10"/>
      <c r="G585" s="10"/>
      <c r="H585" s="10"/>
      <c r="I585" s="1"/>
      <c r="J585" s="1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20"/>
      <c r="D586" s="3"/>
      <c r="E586" s="3"/>
      <c r="F586" s="10"/>
      <c r="G586" s="10"/>
      <c r="H586" s="10"/>
      <c r="I586" s="1"/>
      <c r="J586" s="1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20"/>
      <c r="D587" s="3"/>
      <c r="E587" s="3"/>
      <c r="F587" s="10"/>
      <c r="G587" s="10"/>
      <c r="H587" s="10"/>
      <c r="I587" s="1"/>
      <c r="J587" s="1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20"/>
      <c r="D588" s="3"/>
      <c r="E588" s="3"/>
      <c r="F588" s="10"/>
      <c r="G588" s="10"/>
      <c r="H588" s="10"/>
      <c r="I588" s="1"/>
      <c r="J588" s="1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20"/>
      <c r="D589" s="3"/>
      <c r="E589" s="3"/>
      <c r="F589" s="10"/>
      <c r="G589" s="10"/>
      <c r="H589" s="10"/>
      <c r="I589" s="1"/>
      <c r="J589" s="1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20"/>
      <c r="D590" s="3"/>
      <c r="E590" s="3"/>
      <c r="F590" s="10"/>
      <c r="G590" s="10"/>
      <c r="H590" s="10"/>
      <c r="I590" s="1"/>
      <c r="J590" s="1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20"/>
      <c r="D591" s="3"/>
      <c r="E591" s="3"/>
      <c r="F591" s="10"/>
      <c r="G591" s="10"/>
      <c r="H591" s="10"/>
      <c r="I591" s="1"/>
      <c r="J591" s="1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20"/>
      <c r="D592" s="3"/>
      <c r="E592" s="3"/>
      <c r="F592" s="10"/>
      <c r="G592" s="10"/>
      <c r="H592" s="10"/>
      <c r="I592" s="1"/>
      <c r="J592" s="1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20"/>
      <c r="D593" s="3"/>
      <c r="E593" s="3"/>
      <c r="F593" s="10"/>
      <c r="G593" s="10"/>
      <c r="H593" s="10"/>
      <c r="I593" s="1"/>
      <c r="J593" s="1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20"/>
      <c r="D594" s="3"/>
      <c r="E594" s="3"/>
      <c r="F594" s="10"/>
      <c r="G594" s="10"/>
      <c r="H594" s="10"/>
      <c r="I594" s="1"/>
      <c r="J594" s="1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20"/>
      <c r="D595" s="3"/>
      <c r="E595" s="3"/>
      <c r="F595" s="10"/>
      <c r="G595" s="10"/>
      <c r="H595" s="10"/>
      <c r="I595" s="1"/>
      <c r="J595" s="1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20"/>
      <c r="D596" s="3"/>
      <c r="E596" s="3"/>
      <c r="F596" s="10"/>
      <c r="G596" s="10"/>
      <c r="H596" s="10"/>
      <c r="I596" s="1"/>
      <c r="J596" s="1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20"/>
      <c r="D597" s="3"/>
      <c r="E597" s="3"/>
      <c r="F597" s="10"/>
      <c r="G597" s="10"/>
      <c r="H597" s="10"/>
      <c r="I597" s="1"/>
      <c r="J597" s="1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20"/>
      <c r="D598" s="3"/>
      <c r="E598" s="3"/>
      <c r="F598" s="10"/>
      <c r="G598" s="10"/>
      <c r="H598" s="10"/>
      <c r="I598" s="1"/>
      <c r="J598" s="1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20"/>
      <c r="D599" s="3"/>
      <c r="E599" s="3"/>
      <c r="F599" s="10"/>
      <c r="G599" s="10"/>
      <c r="H599" s="10"/>
      <c r="I599" s="1"/>
      <c r="J599" s="1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20"/>
      <c r="D600" s="3"/>
      <c r="E600" s="3"/>
      <c r="F600" s="10"/>
      <c r="G600" s="10"/>
      <c r="H600" s="10"/>
      <c r="I600" s="1"/>
      <c r="J600" s="1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20"/>
      <c r="D601" s="3"/>
      <c r="E601" s="3"/>
      <c r="F601" s="10"/>
      <c r="G601" s="10"/>
      <c r="H601" s="10"/>
      <c r="I601" s="1"/>
      <c r="J601" s="1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20"/>
      <c r="D602" s="3"/>
      <c r="E602" s="3"/>
      <c r="F602" s="10"/>
      <c r="G602" s="10"/>
      <c r="H602" s="10"/>
      <c r="I602" s="1"/>
      <c r="J602" s="1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20"/>
      <c r="D603" s="3"/>
      <c r="E603" s="3"/>
      <c r="F603" s="10"/>
      <c r="G603" s="10"/>
      <c r="H603" s="10"/>
      <c r="I603" s="1"/>
      <c r="J603" s="1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20"/>
      <c r="D604" s="3"/>
      <c r="E604" s="3"/>
      <c r="F604" s="10"/>
      <c r="G604" s="10"/>
      <c r="H604" s="10"/>
      <c r="I604" s="1"/>
      <c r="J604" s="1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20"/>
      <c r="D605" s="3"/>
      <c r="E605" s="3"/>
      <c r="F605" s="10"/>
      <c r="G605" s="10"/>
      <c r="H605" s="10"/>
      <c r="I605" s="1"/>
      <c r="J605" s="1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20"/>
      <c r="D606" s="3"/>
      <c r="E606" s="3"/>
      <c r="F606" s="10"/>
      <c r="G606" s="10"/>
      <c r="H606" s="10"/>
      <c r="I606" s="1"/>
      <c r="J606" s="1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20"/>
      <c r="D607" s="3"/>
      <c r="E607" s="3"/>
      <c r="F607" s="10"/>
      <c r="G607" s="10"/>
      <c r="H607" s="10"/>
      <c r="I607" s="1"/>
      <c r="J607" s="1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20"/>
      <c r="D608" s="3"/>
      <c r="E608" s="3"/>
      <c r="F608" s="10"/>
      <c r="G608" s="10"/>
      <c r="H608" s="10"/>
      <c r="I608" s="1"/>
      <c r="J608" s="1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20"/>
      <c r="D609" s="3"/>
      <c r="E609" s="3"/>
      <c r="F609" s="10"/>
      <c r="G609" s="10"/>
      <c r="H609" s="10"/>
      <c r="I609" s="1"/>
      <c r="J609" s="1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20"/>
      <c r="D610" s="3"/>
      <c r="E610" s="3"/>
      <c r="F610" s="10"/>
      <c r="G610" s="10"/>
      <c r="H610" s="10"/>
      <c r="I610" s="1"/>
      <c r="J610" s="1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20"/>
      <c r="D611" s="3"/>
      <c r="E611" s="3"/>
      <c r="F611" s="10"/>
      <c r="G611" s="10"/>
      <c r="H611" s="10"/>
      <c r="I611" s="1"/>
      <c r="J611" s="1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20"/>
      <c r="D612" s="3"/>
      <c r="E612" s="3"/>
      <c r="F612" s="10"/>
      <c r="G612" s="10"/>
      <c r="H612" s="10"/>
      <c r="I612" s="1"/>
      <c r="J612" s="1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20"/>
      <c r="D613" s="3"/>
      <c r="E613" s="3"/>
      <c r="F613" s="10"/>
      <c r="G613" s="10"/>
      <c r="H613" s="10"/>
      <c r="I613" s="1"/>
      <c r="J613" s="1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20"/>
      <c r="D614" s="3"/>
      <c r="E614" s="3"/>
      <c r="F614" s="10"/>
      <c r="G614" s="10"/>
      <c r="H614" s="10"/>
      <c r="I614" s="1"/>
      <c r="J614" s="1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20"/>
      <c r="D615" s="3"/>
      <c r="E615" s="3"/>
      <c r="F615" s="10"/>
      <c r="G615" s="10"/>
      <c r="H615" s="10"/>
      <c r="I615" s="1"/>
      <c r="J615" s="1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20"/>
      <c r="D616" s="3"/>
      <c r="E616" s="3"/>
      <c r="F616" s="10"/>
      <c r="G616" s="10"/>
      <c r="H616" s="10"/>
      <c r="I616" s="1"/>
      <c r="J616" s="1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20"/>
      <c r="D617" s="3"/>
      <c r="E617" s="3"/>
      <c r="F617" s="10"/>
      <c r="G617" s="10"/>
      <c r="H617" s="10"/>
      <c r="I617" s="1"/>
      <c r="J617" s="1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20"/>
      <c r="D618" s="3"/>
      <c r="E618" s="3"/>
      <c r="F618" s="10"/>
      <c r="G618" s="10"/>
      <c r="H618" s="10"/>
      <c r="I618" s="1"/>
      <c r="J618" s="1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20"/>
      <c r="D619" s="3"/>
      <c r="E619" s="3"/>
      <c r="F619" s="10"/>
      <c r="G619" s="10"/>
      <c r="H619" s="10"/>
      <c r="I619" s="1"/>
      <c r="J619" s="1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20"/>
      <c r="D620" s="3"/>
      <c r="E620" s="3"/>
      <c r="F620" s="10"/>
      <c r="G620" s="10"/>
      <c r="H620" s="10"/>
      <c r="I620" s="1"/>
      <c r="J620" s="1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20"/>
      <c r="D621" s="3"/>
      <c r="E621" s="3"/>
      <c r="F621" s="10"/>
      <c r="G621" s="10"/>
      <c r="H621" s="10"/>
      <c r="I621" s="1"/>
      <c r="J621" s="1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20"/>
      <c r="D622" s="3"/>
      <c r="E622" s="3"/>
      <c r="F622" s="10"/>
      <c r="G622" s="10"/>
      <c r="H622" s="10"/>
      <c r="I622" s="1"/>
      <c r="J622" s="1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20"/>
      <c r="D623" s="3"/>
      <c r="E623" s="3"/>
      <c r="F623" s="10"/>
      <c r="G623" s="10"/>
      <c r="H623" s="10"/>
      <c r="I623" s="1"/>
      <c r="J623" s="1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20"/>
      <c r="D624" s="3"/>
      <c r="E624" s="3"/>
      <c r="F624" s="10"/>
      <c r="G624" s="10"/>
      <c r="H624" s="10"/>
      <c r="I624" s="1"/>
      <c r="J624" s="1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20"/>
      <c r="D625" s="3"/>
      <c r="E625" s="3"/>
      <c r="F625" s="10"/>
      <c r="G625" s="10"/>
      <c r="H625" s="10"/>
      <c r="I625" s="1"/>
      <c r="J625" s="1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20"/>
      <c r="D626" s="3"/>
      <c r="E626" s="3"/>
      <c r="F626" s="10"/>
      <c r="G626" s="10"/>
      <c r="H626" s="10"/>
      <c r="I626" s="1"/>
      <c r="J626" s="1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20"/>
      <c r="D627" s="3"/>
      <c r="E627" s="3"/>
      <c r="F627" s="10"/>
      <c r="G627" s="10"/>
      <c r="H627" s="10"/>
      <c r="I627" s="1"/>
      <c r="J627" s="1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20"/>
      <c r="D628" s="3"/>
      <c r="E628" s="3"/>
      <c r="F628" s="10"/>
      <c r="G628" s="10"/>
      <c r="H628" s="10"/>
      <c r="I628" s="1"/>
      <c r="J628" s="1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20"/>
      <c r="D629" s="3"/>
      <c r="E629" s="3"/>
      <c r="F629" s="10"/>
      <c r="G629" s="10"/>
      <c r="H629" s="10"/>
      <c r="I629" s="1"/>
      <c r="J629" s="1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20"/>
      <c r="D630" s="3"/>
      <c r="E630" s="3"/>
      <c r="F630" s="10"/>
      <c r="G630" s="10"/>
      <c r="H630" s="10"/>
      <c r="I630" s="1"/>
      <c r="J630" s="1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20"/>
      <c r="D631" s="3"/>
      <c r="E631" s="3"/>
      <c r="F631" s="10"/>
      <c r="G631" s="10"/>
      <c r="H631" s="10"/>
      <c r="I631" s="1"/>
      <c r="J631" s="1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20"/>
      <c r="D632" s="3"/>
      <c r="E632" s="3"/>
      <c r="F632" s="10"/>
      <c r="G632" s="10"/>
      <c r="H632" s="10"/>
      <c r="I632" s="1"/>
      <c r="J632" s="1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20"/>
      <c r="D633" s="3"/>
      <c r="E633" s="3"/>
      <c r="F633" s="10"/>
      <c r="G633" s="10"/>
      <c r="H633" s="10"/>
      <c r="I633" s="1"/>
      <c r="J633" s="1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20"/>
      <c r="D634" s="3"/>
      <c r="E634" s="3"/>
      <c r="F634" s="10"/>
      <c r="G634" s="10"/>
      <c r="H634" s="10"/>
      <c r="I634" s="1"/>
      <c r="J634" s="1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20"/>
      <c r="D635" s="3"/>
      <c r="E635" s="3"/>
      <c r="F635" s="10"/>
      <c r="G635" s="10"/>
      <c r="H635" s="10"/>
      <c r="I635" s="1"/>
      <c r="J635" s="1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20"/>
      <c r="D636" s="3"/>
      <c r="E636" s="3"/>
      <c r="F636" s="10"/>
      <c r="G636" s="10"/>
      <c r="H636" s="10"/>
      <c r="I636" s="1"/>
      <c r="J636" s="1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20"/>
      <c r="D637" s="3"/>
      <c r="E637" s="3"/>
      <c r="F637" s="10"/>
      <c r="G637" s="10"/>
      <c r="H637" s="10"/>
      <c r="I637" s="1"/>
      <c r="J637" s="1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20"/>
      <c r="D638" s="3"/>
      <c r="E638" s="3"/>
      <c r="F638" s="10"/>
      <c r="G638" s="10"/>
      <c r="H638" s="10"/>
      <c r="I638" s="1"/>
      <c r="J638" s="1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20"/>
      <c r="D639" s="3"/>
      <c r="E639" s="3"/>
      <c r="F639" s="10"/>
      <c r="G639" s="10"/>
      <c r="H639" s="10"/>
      <c r="I639" s="1"/>
      <c r="J639" s="1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20"/>
      <c r="D640" s="3"/>
      <c r="E640" s="3"/>
      <c r="F640" s="10"/>
      <c r="G640" s="10"/>
      <c r="H640" s="10"/>
      <c r="I640" s="1"/>
      <c r="J640" s="1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20"/>
      <c r="D641" s="3"/>
      <c r="E641" s="3"/>
      <c r="F641" s="10"/>
      <c r="G641" s="10"/>
      <c r="H641" s="10"/>
      <c r="I641" s="1"/>
      <c r="J641" s="1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20"/>
      <c r="D642" s="3"/>
      <c r="E642" s="3"/>
      <c r="F642" s="10"/>
      <c r="G642" s="10"/>
      <c r="H642" s="10"/>
      <c r="I642" s="1"/>
      <c r="J642" s="1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20"/>
      <c r="D643" s="3"/>
      <c r="E643" s="3"/>
      <c r="F643" s="10"/>
      <c r="G643" s="10"/>
      <c r="H643" s="10"/>
      <c r="I643" s="1"/>
      <c r="J643" s="1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20"/>
      <c r="D644" s="3"/>
      <c r="E644" s="3"/>
      <c r="F644" s="10"/>
      <c r="G644" s="10"/>
      <c r="H644" s="10"/>
      <c r="I644" s="1"/>
      <c r="J644" s="1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20"/>
      <c r="D645" s="3"/>
      <c r="E645" s="3"/>
      <c r="F645" s="10"/>
      <c r="G645" s="10"/>
      <c r="H645" s="10"/>
      <c r="I645" s="1"/>
      <c r="J645" s="1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20"/>
      <c r="D646" s="3"/>
      <c r="E646" s="3"/>
      <c r="F646" s="10"/>
      <c r="G646" s="10"/>
      <c r="H646" s="10"/>
      <c r="I646" s="1"/>
      <c r="J646" s="1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20"/>
      <c r="D647" s="3"/>
      <c r="E647" s="3"/>
      <c r="F647" s="10"/>
      <c r="G647" s="10"/>
      <c r="H647" s="10"/>
      <c r="I647" s="1"/>
      <c r="J647" s="1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20"/>
      <c r="D648" s="3"/>
      <c r="E648" s="3"/>
      <c r="F648" s="10"/>
      <c r="G648" s="10"/>
      <c r="H648" s="10"/>
      <c r="I648" s="1"/>
      <c r="J648" s="1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20"/>
      <c r="D649" s="3"/>
      <c r="E649" s="3"/>
      <c r="F649" s="10"/>
      <c r="G649" s="10"/>
      <c r="H649" s="10"/>
      <c r="I649" s="1"/>
      <c r="J649" s="1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20"/>
      <c r="D650" s="3"/>
      <c r="E650" s="3"/>
      <c r="F650" s="10"/>
      <c r="G650" s="10"/>
      <c r="H650" s="10"/>
      <c r="I650" s="1"/>
      <c r="J650" s="1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20"/>
      <c r="D651" s="3"/>
      <c r="E651" s="3"/>
      <c r="F651" s="10"/>
      <c r="G651" s="10"/>
      <c r="H651" s="10"/>
      <c r="I651" s="1"/>
      <c r="J651" s="1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20"/>
      <c r="D652" s="3"/>
      <c r="E652" s="3"/>
      <c r="F652" s="10"/>
      <c r="G652" s="10"/>
      <c r="H652" s="10"/>
      <c r="I652" s="1"/>
      <c r="J652" s="1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20"/>
      <c r="D653" s="3"/>
      <c r="E653" s="3"/>
      <c r="F653" s="10"/>
      <c r="G653" s="10"/>
      <c r="H653" s="10"/>
      <c r="I653" s="1"/>
      <c r="J653" s="1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20"/>
      <c r="D654" s="3"/>
      <c r="E654" s="3"/>
      <c r="F654" s="10"/>
      <c r="G654" s="10"/>
      <c r="H654" s="10"/>
      <c r="I654" s="1"/>
      <c r="J654" s="1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20"/>
      <c r="D655" s="3"/>
      <c r="E655" s="3"/>
      <c r="F655" s="10"/>
      <c r="G655" s="10"/>
      <c r="H655" s="10"/>
      <c r="I655" s="1"/>
      <c r="J655" s="1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20"/>
      <c r="D656" s="3"/>
      <c r="E656" s="3"/>
      <c r="F656" s="10"/>
      <c r="G656" s="10"/>
      <c r="H656" s="10"/>
      <c r="I656" s="1"/>
      <c r="J656" s="1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20"/>
      <c r="D657" s="3"/>
      <c r="E657" s="3"/>
      <c r="F657" s="10"/>
      <c r="G657" s="10"/>
      <c r="H657" s="10"/>
      <c r="I657" s="1"/>
      <c r="J657" s="1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20"/>
      <c r="D658" s="3"/>
      <c r="E658" s="3"/>
      <c r="F658" s="10"/>
      <c r="G658" s="10"/>
      <c r="H658" s="10"/>
      <c r="I658" s="1"/>
      <c r="J658" s="1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20"/>
      <c r="D659" s="3"/>
      <c r="E659" s="3"/>
      <c r="F659" s="10"/>
      <c r="G659" s="10"/>
      <c r="H659" s="10"/>
      <c r="I659" s="1"/>
      <c r="J659" s="1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20"/>
      <c r="D660" s="3"/>
      <c r="E660" s="3"/>
      <c r="F660" s="10"/>
      <c r="G660" s="10"/>
      <c r="H660" s="10"/>
      <c r="I660" s="1"/>
      <c r="J660" s="1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20"/>
      <c r="D661" s="3"/>
      <c r="E661" s="3"/>
      <c r="F661" s="10"/>
      <c r="G661" s="10"/>
      <c r="H661" s="10"/>
      <c r="I661" s="1"/>
      <c r="J661" s="1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20"/>
      <c r="D662" s="3"/>
      <c r="E662" s="3"/>
      <c r="F662" s="10"/>
      <c r="G662" s="10"/>
      <c r="H662" s="10"/>
      <c r="I662" s="1"/>
      <c r="J662" s="1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20"/>
      <c r="D663" s="3"/>
      <c r="E663" s="3"/>
      <c r="F663" s="10"/>
      <c r="G663" s="10"/>
      <c r="H663" s="10"/>
      <c r="I663" s="1"/>
      <c r="J663" s="1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20"/>
      <c r="D664" s="3"/>
      <c r="E664" s="3"/>
      <c r="F664" s="10"/>
      <c r="G664" s="10"/>
      <c r="H664" s="10"/>
      <c r="I664" s="1"/>
      <c r="J664" s="1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20"/>
      <c r="D665" s="3"/>
      <c r="E665" s="3"/>
      <c r="F665" s="10"/>
      <c r="G665" s="10"/>
      <c r="H665" s="10"/>
      <c r="I665" s="1"/>
      <c r="J665" s="1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20"/>
      <c r="D666" s="3"/>
      <c r="E666" s="3"/>
      <c r="F666" s="10"/>
      <c r="G666" s="10"/>
      <c r="H666" s="10"/>
      <c r="I666" s="1"/>
      <c r="J666" s="1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20"/>
      <c r="D667" s="3"/>
      <c r="E667" s="3"/>
      <c r="F667" s="10"/>
      <c r="G667" s="10"/>
      <c r="H667" s="10"/>
      <c r="I667" s="1"/>
      <c r="J667" s="1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20"/>
      <c r="D668" s="3"/>
      <c r="E668" s="3"/>
      <c r="F668" s="10"/>
      <c r="G668" s="10"/>
      <c r="H668" s="10"/>
      <c r="I668" s="1"/>
      <c r="J668" s="1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20"/>
      <c r="D669" s="3"/>
      <c r="E669" s="3"/>
      <c r="F669" s="10"/>
      <c r="G669" s="10"/>
      <c r="H669" s="10"/>
      <c r="I669" s="1"/>
      <c r="J669" s="1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20"/>
      <c r="D670" s="3"/>
      <c r="E670" s="3"/>
      <c r="F670" s="10"/>
      <c r="G670" s="10"/>
      <c r="H670" s="10"/>
      <c r="I670" s="1"/>
      <c r="J670" s="1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20"/>
      <c r="D671" s="3"/>
      <c r="E671" s="3"/>
      <c r="F671" s="10"/>
      <c r="G671" s="10"/>
      <c r="H671" s="10"/>
      <c r="I671" s="1"/>
      <c r="J671" s="1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20"/>
      <c r="D672" s="3"/>
      <c r="E672" s="3"/>
      <c r="F672" s="10"/>
      <c r="G672" s="10"/>
      <c r="H672" s="10"/>
      <c r="I672" s="1"/>
      <c r="J672" s="1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20"/>
      <c r="D673" s="3"/>
      <c r="E673" s="3"/>
      <c r="F673" s="10"/>
      <c r="G673" s="10"/>
      <c r="H673" s="10"/>
      <c r="I673" s="1"/>
      <c r="J673" s="1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20"/>
      <c r="D674" s="3"/>
      <c r="E674" s="3"/>
      <c r="F674" s="10"/>
      <c r="G674" s="10"/>
      <c r="H674" s="10"/>
      <c r="I674" s="1"/>
      <c r="J674" s="1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20"/>
      <c r="D675" s="3"/>
      <c r="E675" s="3"/>
      <c r="F675" s="10"/>
      <c r="G675" s="10"/>
      <c r="H675" s="10"/>
      <c r="I675" s="1"/>
      <c r="J675" s="1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20"/>
      <c r="D676" s="3"/>
      <c r="E676" s="3"/>
      <c r="F676" s="10"/>
      <c r="G676" s="10"/>
      <c r="H676" s="10"/>
      <c r="I676" s="1"/>
      <c r="J676" s="1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20"/>
      <c r="D677" s="3"/>
      <c r="E677" s="3"/>
      <c r="F677" s="10"/>
      <c r="G677" s="10"/>
      <c r="H677" s="10"/>
      <c r="I677" s="1"/>
      <c r="J677" s="1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20"/>
      <c r="D678" s="3"/>
      <c r="E678" s="3"/>
      <c r="F678" s="10"/>
      <c r="G678" s="10"/>
      <c r="H678" s="10"/>
      <c r="I678" s="1"/>
      <c r="J678" s="1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20"/>
      <c r="D679" s="3"/>
      <c r="E679" s="3"/>
      <c r="F679" s="10"/>
      <c r="G679" s="10"/>
      <c r="H679" s="10"/>
      <c r="I679" s="1"/>
      <c r="J679" s="1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20"/>
      <c r="D680" s="3"/>
      <c r="E680" s="3"/>
      <c r="F680" s="10"/>
      <c r="G680" s="10"/>
      <c r="H680" s="10"/>
      <c r="I680" s="1"/>
      <c r="J680" s="1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20"/>
      <c r="D681" s="3"/>
      <c r="E681" s="3"/>
      <c r="F681" s="10"/>
      <c r="G681" s="10"/>
      <c r="H681" s="10"/>
      <c r="I681" s="1"/>
      <c r="J681" s="1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20"/>
      <c r="D682" s="3"/>
      <c r="E682" s="3"/>
      <c r="F682" s="10"/>
      <c r="G682" s="10"/>
      <c r="H682" s="10"/>
      <c r="I682" s="1"/>
      <c r="J682" s="1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20"/>
      <c r="D683" s="3"/>
      <c r="E683" s="3"/>
      <c r="F683" s="10"/>
      <c r="G683" s="10"/>
      <c r="H683" s="10"/>
      <c r="I683" s="1"/>
      <c r="J683" s="1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20"/>
      <c r="D684" s="3"/>
      <c r="E684" s="3"/>
      <c r="F684" s="10"/>
      <c r="G684" s="10"/>
      <c r="H684" s="10"/>
      <c r="I684" s="1"/>
      <c r="J684" s="1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20"/>
      <c r="D685" s="3"/>
      <c r="E685" s="3"/>
      <c r="F685" s="10"/>
      <c r="G685" s="10"/>
      <c r="H685" s="10"/>
      <c r="I685" s="1"/>
      <c r="J685" s="1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20"/>
      <c r="D686" s="3"/>
      <c r="E686" s="3"/>
      <c r="F686" s="10"/>
      <c r="G686" s="10"/>
      <c r="H686" s="10"/>
      <c r="I686" s="1"/>
      <c r="J686" s="1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20"/>
      <c r="D687" s="3"/>
      <c r="E687" s="3"/>
      <c r="F687" s="10"/>
      <c r="G687" s="10"/>
      <c r="H687" s="10"/>
      <c r="I687" s="1"/>
      <c r="J687" s="1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20"/>
      <c r="D688" s="3"/>
      <c r="E688" s="3"/>
      <c r="F688" s="10"/>
      <c r="G688" s="10"/>
      <c r="H688" s="10"/>
      <c r="I688" s="1"/>
      <c r="J688" s="1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20"/>
      <c r="D689" s="3"/>
      <c r="E689" s="3"/>
      <c r="F689" s="10"/>
      <c r="G689" s="10"/>
      <c r="H689" s="10"/>
      <c r="I689" s="1"/>
      <c r="J689" s="1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20"/>
      <c r="D690" s="3"/>
      <c r="E690" s="3"/>
      <c r="F690" s="10"/>
      <c r="G690" s="10"/>
      <c r="H690" s="10"/>
      <c r="I690" s="1"/>
      <c r="J690" s="1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20"/>
      <c r="D691" s="3"/>
      <c r="E691" s="3"/>
      <c r="F691" s="10"/>
      <c r="G691" s="10"/>
      <c r="H691" s="10"/>
      <c r="I691" s="1"/>
      <c r="J691" s="1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20"/>
      <c r="D692" s="3"/>
      <c r="E692" s="3"/>
      <c r="F692" s="10"/>
      <c r="G692" s="10"/>
      <c r="H692" s="10"/>
      <c r="I692" s="1"/>
      <c r="J692" s="1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20"/>
      <c r="D693" s="3"/>
      <c r="E693" s="3"/>
      <c r="F693" s="10"/>
      <c r="G693" s="10"/>
      <c r="H693" s="10"/>
      <c r="I693" s="1"/>
      <c r="J693" s="1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20"/>
      <c r="D694" s="3"/>
      <c r="E694" s="3"/>
      <c r="F694" s="10"/>
      <c r="G694" s="10"/>
      <c r="H694" s="10"/>
      <c r="I694" s="1"/>
      <c r="J694" s="1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20"/>
      <c r="D695" s="3"/>
      <c r="E695" s="3"/>
      <c r="F695" s="10"/>
      <c r="G695" s="10"/>
      <c r="H695" s="10"/>
      <c r="I695" s="1"/>
      <c r="J695" s="1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20"/>
      <c r="D696" s="3"/>
      <c r="E696" s="3"/>
      <c r="F696" s="10"/>
      <c r="G696" s="10"/>
      <c r="H696" s="10"/>
      <c r="I696" s="1"/>
      <c r="J696" s="1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20"/>
      <c r="D697" s="3"/>
      <c r="E697" s="3"/>
      <c r="F697" s="10"/>
      <c r="G697" s="10"/>
      <c r="H697" s="10"/>
      <c r="I697" s="1"/>
      <c r="J697" s="1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20"/>
      <c r="D698" s="3"/>
      <c r="E698" s="3"/>
      <c r="F698" s="10"/>
      <c r="G698" s="10"/>
      <c r="H698" s="10"/>
      <c r="I698" s="1"/>
      <c r="J698" s="1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20"/>
      <c r="D699" s="3"/>
      <c r="E699" s="3"/>
      <c r="F699" s="10"/>
      <c r="G699" s="10"/>
      <c r="H699" s="10"/>
      <c r="I699" s="1"/>
      <c r="J699" s="1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20"/>
      <c r="D700" s="3"/>
      <c r="E700" s="3"/>
      <c r="F700" s="10"/>
      <c r="G700" s="10"/>
      <c r="H700" s="10"/>
      <c r="I700" s="1"/>
      <c r="J700" s="1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20"/>
      <c r="D701" s="3"/>
      <c r="E701" s="3"/>
      <c r="F701" s="10"/>
      <c r="G701" s="10"/>
      <c r="H701" s="10"/>
      <c r="I701" s="1"/>
      <c r="J701" s="1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20"/>
      <c r="D702" s="3"/>
      <c r="E702" s="3"/>
      <c r="F702" s="10"/>
      <c r="G702" s="10"/>
      <c r="H702" s="10"/>
      <c r="I702" s="1"/>
      <c r="J702" s="1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20"/>
      <c r="D703" s="3"/>
      <c r="E703" s="3"/>
      <c r="F703" s="10"/>
      <c r="G703" s="10"/>
      <c r="H703" s="10"/>
      <c r="I703" s="1"/>
      <c r="J703" s="1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20"/>
      <c r="D704" s="3"/>
      <c r="E704" s="3"/>
      <c r="F704" s="10"/>
      <c r="G704" s="10"/>
      <c r="H704" s="10"/>
      <c r="I704" s="1"/>
      <c r="J704" s="1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20"/>
      <c r="D705" s="3"/>
      <c r="E705" s="3"/>
      <c r="F705" s="10"/>
      <c r="G705" s="10"/>
      <c r="H705" s="10"/>
      <c r="I705" s="1"/>
      <c r="J705" s="1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20"/>
      <c r="D706" s="3"/>
      <c r="E706" s="3"/>
      <c r="F706" s="10"/>
      <c r="G706" s="10"/>
      <c r="H706" s="10"/>
      <c r="I706" s="1"/>
      <c r="J706" s="1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20"/>
      <c r="D707" s="3"/>
      <c r="E707" s="3"/>
      <c r="F707" s="10"/>
      <c r="G707" s="10"/>
      <c r="H707" s="10"/>
      <c r="I707" s="1"/>
      <c r="J707" s="1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20"/>
      <c r="D708" s="3"/>
      <c r="E708" s="3"/>
      <c r="F708" s="10"/>
      <c r="G708" s="10"/>
      <c r="H708" s="10"/>
      <c r="I708" s="1"/>
      <c r="J708" s="1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20"/>
      <c r="D709" s="3"/>
      <c r="E709" s="3"/>
      <c r="F709" s="10"/>
      <c r="G709" s="10"/>
      <c r="H709" s="10"/>
      <c r="I709" s="1"/>
      <c r="J709" s="1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20"/>
      <c r="D710" s="3"/>
      <c r="E710" s="3"/>
      <c r="F710" s="10"/>
      <c r="G710" s="10"/>
      <c r="H710" s="10"/>
      <c r="I710" s="1"/>
      <c r="J710" s="1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20"/>
      <c r="D711" s="3"/>
      <c r="E711" s="3"/>
      <c r="F711" s="10"/>
      <c r="G711" s="10"/>
      <c r="H711" s="10"/>
      <c r="I711" s="1"/>
      <c r="J711" s="1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20"/>
      <c r="D712" s="3"/>
      <c r="E712" s="3"/>
      <c r="F712" s="10"/>
      <c r="G712" s="10"/>
      <c r="H712" s="10"/>
      <c r="I712" s="1"/>
      <c r="J712" s="1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20"/>
      <c r="D713" s="3"/>
      <c r="E713" s="3"/>
      <c r="F713" s="10"/>
      <c r="G713" s="10"/>
      <c r="H713" s="10"/>
      <c r="I713" s="1"/>
      <c r="J713" s="1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20"/>
      <c r="D714" s="3"/>
      <c r="E714" s="3"/>
      <c r="F714" s="10"/>
      <c r="G714" s="10"/>
      <c r="H714" s="10"/>
      <c r="I714" s="1"/>
      <c r="J714" s="1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20"/>
      <c r="D715" s="3"/>
      <c r="E715" s="3"/>
      <c r="F715" s="10"/>
      <c r="G715" s="10"/>
      <c r="H715" s="10"/>
      <c r="I715" s="1"/>
      <c r="J715" s="1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20"/>
      <c r="D716" s="3"/>
      <c r="E716" s="3"/>
      <c r="F716" s="10"/>
      <c r="G716" s="10"/>
      <c r="H716" s="10"/>
      <c r="I716" s="1"/>
      <c r="J716" s="1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20"/>
      <c r="D717" s="3"/>
      <c r="E717" s="3"/>
      <c r="F717" s="10"/>
      <c r="G717" s="10"/>
      <c r="H717" s="10"/>
      <c r="I717" s="1"/>
      <c r="J717" s="1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20"/>
      <c r="D718" s="3"/>
      <c r="E718" s="3"/>
      <c r="F718" s="10"/>
      <c r="G718" s="10"/>
      <c r="H718" s="10"/>
      <c r="I718" s="1"/>
      <c r="J718" s="1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20"/>
      <c r="D719" s="3"/>
      <c r="E719" s="3"/>
      <c r="F719" s="10"/>
      <c r="G719" s="10"/>
      <c r="H719" s="10"/>
      <c r="I719" s="1"/>
      <c r="J719" s="1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20"/>
      <c r="D720" s="3"/>
      <c r="E720" s="3"/>
      <c r="F720" s="10"/>
      <c r="G720" s="10"/>
      <c r="H720" s="10"/>
      <c r="I720" s="1"/>
      <c r="J720" s="1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20"/>
      <c r="D721" s="3"/>
      <c r="E721" s="3"/>
      <c r="F721" s="10"/>
      <c r="G721" s="10"/>
      <c r="H721" s="10"/>
      <c r="I721" s="1"/>
      <c r="J721" s="1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20"/>
      <c r="D722" s="3"/>
      <c r="E722" s="3"/>
      <c r="F722" s="10"/>
      <c r="G722" s="10"/>
      <c r="H722" s="10"/>
      <c r="I722" s="1"/>
      <c r="J722" s="1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20"/>
      <c r="D723" s="3"/>
      <c r="E723" s="3"/>
      <c r="F723" s="10"/>
      <c r="G723" s="10"/>
      <c r="H723" s="10"/>
      <c r="I723" s="1"/>
      <c r="J723" s="1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20"/>
      <c r="D724" s="3"/>
      <c r="E724" s="3"/>
      <c r="F724" s="10"/>
      <c r="G724" s="10"/>
      <c r="H724" s="10"/>
      <c r="I724" s="1"/>
      <c r="J724" s="1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20"/>
      <c r="D725" s="3"/>
      <c r="E725" s="3"/>
      <c r="F725" s="10"/>
      <c r="G725" s="10"/>
      <c r="H725" s="10"/>
      <c r="I725" s="1"/>
      <c r="J725" s="1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20"/>
      <c r="D726" s="3"/>
      <c r="E726" s="3"/>
      <c r="F726" s="10"/>
      <c r="G726" s="10"/>
      <c r="H726" s="10"/>
      <c r="I726" s="1"/>
      <c r="J726" s="1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20"/>
      <c r="D727" s="3"/>
      <c r="E727" s="3"/>
      <c r="F727" s="10"/>
      <c r="G727" s="10"/>
      <c r="H727" s="10"/>
      <c r="I727" s="1"/>
      <c r="J727" s="1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20"/>
      <c r="D728" s="3"/>
      <c r="E728" s="3"/>
      <c r="F728" s="10"/>
      <c r="G728" s="10"/>
      <c r="H728" s="10"/>
      <c r="I728" s="1"/>
      <c r="J728" s="1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20"/>
      <c r="D729" s="3"/>
      <c r="E729" s="3"/>
      <c r="F729" s="10"/>
      <c r="G729" s="10"/>
      <c r="H729" s="10"/>
      <c r="I729" s="1"/>
      <c r="J729" s="1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20"/>
      <c r="D730" s="3"/>
      <c r="E730" s="3"/>
      <c r="F730" s="10"/>
      <c r="G730" s="10"/>
      <c r="H730" s="10"/>
      <c r="I730" s="1"/>
      <c r="J730" s="1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20"/>
      <c r="D731" s="3"/>
      <c r="E731" s="3"/>
      <c r="F731" s="10"/>
      <c r="G731" s="10"/>
      <c r="H731" s="10"/>
      <c r="I731" s="1"/>
      <c r="J731" s="1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20"/>
      <c r="D732" s="3"/>
      <c r="E732" s="3"/>
      <c r="F732" s="10"/>
      <c r="G732" s="10"/>
      <c r="H732" s="10"/>
      <c r="I732" s="1"/>
      <c r="J732" s="1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20"/>
      <c r="D733" s="3"/>
      <c r="E733" s="3"/>
      <c r="F733" s="10"/>
      <c r="G733" s="10"/>
      <c r="H733" s="10"/>
      <c r="I733" s="1"/>
      <c r="J733" s="1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20"/>
      <c r="D734" s="3"/>
      <c r="E734" s="3"/>
      <c r="F734" s="10"/>
      <c r="G734" s="10"/>
      <c r="H734" s="10"/>
      <c r="I734" s="1"/>
      <c r="J734" s="1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20"/>
      <c r="D735" s="3"/>
      <c r="E735" s="3"/>
      <c r="F735" s="10"/>
      <c r="G735" s="10"/>
      <c r="H735" s="10"/>
      <c r="I735" s="1"/>
      <c r="J735" s="1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20"/>
      <c r="D736" s="3"/>
      <c r="E736" s="3"/>
      <c r="F736" s="10"/>
      <c r="G736" s="10"/>
      <c r="H736" s="10"/>
      <c r="I736" s="1"/>
      <c r="J736" s="1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20"/>
      <c r="D737" s="3"/>
      <c r="E737" s="3"/>
      <c r="F737" s="10"/>
      <c r="G737" s="10"/>
      <c r="H737" s="10"/>
      <c r="I737" s="1"/>
      <c r="J737" s="1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20"/>
      <c r="D738" s="3"/>
      <c r="E738" s="3"/>
      <c r="F738" s="10"/>
      <c r="G738" s="10"/>
      <c r="H738" s="10"/>
      <c r="I738" s="1"/>
      <c r="J738" s="1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20"/>
      <c r="D739" s="3"/>
      <c r="E739" s="3"/>
      <c r="F739" s="10"/>
      <c r="G739" s="10"/>
      <c r="H739" s="10"/>
      <c r="I739" s="1"/>
      <c r="J739" s="1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20"/>
      <c r="D740" s="3"/>
      <c r="E740" s="3"/>
      <c r="F740" s="10"/>
      <c r="G740" s="10"/>
      <c r="H740" s="10"/>
      <c r="I740" s="1"/>
      <c r="J740" s="1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20"/>
      <c r="D741" s="3"/>
      <c r="E741" s="3"/>
      <c r="F741" s="10"/>
      <c r="G741" s="10"/>
      <c r="H741" s="10"/>
      <c r="I741" s="1"/>
      <c r="J741" s="1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20"/>
      <c r="D742" s="3"/>
      <c r="E742" s="3"/>
      <c r="F742" s="10"/>
      <c r="G742" s="10"/>
      <c r="H742" s="10"/>
      <c r="I742" s="1"/>
      <c r="J742" s="1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20"/>
      <c r="D743" s="3"/>
      <c r="E743" s="3"/>
      <c r="F743" s="10"/>
      <c r="G743" s="10"/>
      <c r="H743" s="10"/>
      <c r="I743" s="1"/>
      <c r="J743" s="1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20"/>
      <c r="D744" s="3"/>
      <c r="E744" s="3"/>
      <c r="F744" s="10"/>
      <c r="G744" s="10"/>
      <c r="H744" s="10"/>
      <c r="I744" s="1"/>
      <c r="J744" s="1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20"/>
      <c r="D745" s="3"/>
      <c r="E745" s="3"/>
      <c r="F745" s="10"/>
      <c r="G745" s="10"/>
      <c r="H745" s="10"/>
      <c r="I745" s="1"/>
      <c r="J745" s="1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20"/>
      <c r="D746" s="3"/>
      <c r="E746" s="3"/>
      <c r="F746" s="10"/>
      <c r="G746" s="10"/>
      <c r="H746" s="10"/>
      <c r="I746" s="1"/>
      <c r="J746" s="1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20"/>
      <c r="D747" s="3"/>
      <c r="E747" s="3"/>
      <c r="F747" s="10"/>
      <c r="G747" s="10"/>
      <c r="H747" s="10"/>
      <c r="I747" s="1"/>
      <c r="J747" s="1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20"/>
      <c r="D748" s="3"/>
      <c r="E748" s="3"/>
      <c r="F748" s="10"/>
      <c r="G748" s="10"/>
      <c r="H748" s="10"/>
      <c r="I748" s="1"/>
      <c r="J748" s="1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20"/>
      <c r="D749" s="3"/>
      <c r="E749" s="3"/>
      <c r="F749" s="10"/>
      <c r="G749" s="10"/>
      <c r="H749" s="10"/>
      <c r="I749" s="1"/>
      <c r="J749" s="1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20"/>
      <c r="D750" s="3"/>
      <c r="E750" s="3"/>
      <c r="F750" s="10"/>
      <c r="G750" s="10"/>
      <c r="H750" s="10"/>
      <c r="I750" s="1"/>
      <c r="J750" s="1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20"/>
      <c r="D751" s="3"/>
      <c r="E751" s="3"/>
      <c r="F751" s="10"/>
      <c r="G751" s="10"/>
      <c r="H751" s="10"/>
      <c r="I751" s="1"/>
      <c r="J751" s="1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20"/>
      <c r="D752" s="3"/>
      <c r="E752" s="3"/>
      <c r="F752" s="10"/>
      <c r="G752" s="10"/>
      <c r="H752" s="10"/>
      <c r="I752" s="1"/>
      <c r="J752" s="1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20"/>
      <c r="D753" s="3"/>
      <c r="E753" s="3"/>
      <c r="F753" s="10"/>
      <c r="G753" s="10"/>
      <c r="H753" s="10"/>
      <c r="I753" s="1"/>
      <c r="J753" s="1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20"/>
      <c r="D754" s="3"/>
      <c r="E754" s="3"/>
      <c r="F754" s="10"/>
      <c r="G754" s="10"/>
      <c r="H754" s="10"/>
      <c r="I754" s="1"/>
      <c r="J754" s="1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20"/>
      <c r="D755" s="3"/>
      <c r="E755" s="3"/>
      <c r="F755" s="10"/>
      <c r="G755" s="10"/>
      <c r="H755" s="10"/>
      <c r="I755" s="1"/>
      <c r="J755" s="1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20"/>
      <c r="D756" s="3"/>
      <c r="E756" s="3"/>
      <c r="F756" s="10"/>
      <c r="G756" s="10"/>
      <c r="H756" s="10"/>
      <c r="I756" s="1"/>
      <c r="J756" s="1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20"/>
      <c r="D757" s="3"/>
      <c r="E757" s="3"/>
      <c r="F757" s="10"/>
      <c r="G757" s="10"/>
      <c r="H757" s="10"/>
      <c r="I757" s="1"/>
      <c r="J757" s="1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20"/>
      <c r="D758" s="3"/>
      <c r="E758" s="3"/>
      <c r="F758" s="10"/>
      <c r="G758" s="10"/>
      <c r="H758" s="10"/>
      <c r="I758" s="1"/>
      <c r="J758" s="1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20"/>
      <c r="D759" s="3"/>
      <c r="E759" s="3"/>
      <c r="F759" s="10"/>
      <c r="G759" s="10"/>
      <c r="H759" s="10"/>
      <c r="I759" s="1"/>
      <c r="J759" s="1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20"/>
      <c r="D760" s="3"/>
      <c r="E760" s="3"/>
      <c r="F760" s="10"/>
      <c r="G760" s="10"/>
      <c r="H760" s="10"/>
      <c r="I760" s="1"/>
      <c r="J760" s="1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20"/>
      <c r="D761" s="3"/>
      <c r="E761" s="3"/>
      <c r="F761" s="10"/>
      <c r="G761" s="10"/>
      <c r="H761" s="10"/>
      <c r="I761" s="1"/>
      <c r="J761" s="1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20"/>
      <c r="D762" s="3"/>
      <c r="E762" s="3"/>
      <c r="F762" s="10"/>
      <c r="G762" s="10"/>
      <c r="H762" s="10"/>
      <c r="I762" s="1"/>
      <c r="J762" s="1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20"/>
      <c r="D763" s="3"/>
      <c r="E763" s="3"/>
      <c r="F763" s="10"/>
      <c r="G763" s="10"/>
      <c r="H763" s="10"/>
      <c r="I763" s="1"/>
      <c r="J763" s="1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20"/>
      <c r="D764" s="3"/>
      <c r="E764" s="3"/>
      <c r="F764" s="10"/>
      <c r="G764" s="10"/>
      <c r="H764" s="10"/>
      <c r="I764" s="1"/>
      <c r="J764" s="1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20"/>
      <c r="D765" s="3"/>
      <c r="E765" s="3"/>
      <c r="F765" s="10"/>
      <c r="G765" s="10"/>
      <c r="H765" s="10"/>
      <c r="I765" s="1"/>
      <c r="J765" s="1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20"/>
      <c r="D766" s="3"/>
      <c r="E766" s="3"/>
      <c r="F766" s="10"/>
      <c r="G766" s="10"/>
      <c r="H766" s="10"/>
      <c r="I766" s="1"/>
      <c r="J766" s="1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20"/>
      <c r="D767" s="3"/>
      <c r="E767" s="3"/>
      <c r="F767" s="10"/>
      <c r="G767" s="10"/>
      <c r="H767" s="10"/>
      <c r="I767" s="1"/>
      <c r="J767" s="1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20"/>
      <c r="D768" s="3"/>
      <c r="E768" s="3"/>
      <c r="F768" s="10"/>
      <c r="G768" s="10"/>
      <c r="H768" s="10"/>
      <c r="I768" s="1"/>
      <c r="J768" s="1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20"/>
      <c r="D769" s="3"/>
      <c r="E769" s="3"/>
      <c r="F769" s="10"/>
      <c r="G769" s="10"/>
      <c r="H769" s="10"/>
      <c r="I769" s="1"/>
      <c r="J769" s="1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20"/>
      <c r="D770" s="3"/>
      <c r="E770" s="3"/>
      <c r="F770" s="10"/>
      <c r="G770" s="10"/>
      <c r="H770" s="10"/>
      <c r="I770" s="1"/>
      <c r="J770" s="1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20"/>
      <c r="D771" s="3"/>
      <c r="E771" s="3"/>
      <c r="F771" s="10"/>
      <c r="G771" s="10"/>
      <c r="H771" s="10"/>
      <c r="I771" s="1"/>
      <c r="J771" s="1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20"/>
      <c r="D772" s="3"/>
      <c r="E772" s="3"/>
      <c r="F772" s="10"/>
      <c r="G772" s="10"/>
      <c r="H772" s="10"/>
      <c r="I772" s="1"/>
      <c r="J772" s="1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20"/>
      <c r="D773" s="3"/>
      <c r="E773" s="3"/>
      <c r="F773" s="10"/>
      <c r="G773" s="10"/>
      <c r="H773" s="10"/>
      <c r="I773" s="1"/>
      <c r="J773" s="1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20"/>
      <c r="D774" s="3"/>
      <c r="E774" s="3"/>
      <c r="F774" s="10"/>
      <c r="G774" s="10"/>
      <c r="H774" s="10"/>
      <c r="I774" s="1"/>
      <c r="J774" s="1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20"/>
      <c r="D775" s="3"/>
      <c r="E775" s="3"/>
      <c r="F775" s="10"/>
      <c r="G775" s="10"/>
      <c r="H775" s="10"/>
      <c r="I775" s="1"/>
      <c r="J775" s="1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20"/>
      <c r="D776" s="3"/>
      <c r="E776" s="3"/>
      <c r="F776" s="10"/>
      <c r="G776" s="10"/>
      <c r="H776" s="10"/>
      <c r="I776" s="1"/>
      <c r="J776" s="1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20"/>
      <c r="D777" s="3"/>
      <c r="E777" s="3"/>
      <c r="F777" s="10"/>
      <c r="G777" s="10"/>
      <c r="H777" s="10"/>
      <c r="I777" s="1"/>
      <c r="J777" s="1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20"/>
      <c r="D778" s="3"/>
      <c r="E778" s="3"/>
      <c r="F778" s="10"/>
      <c r="G778" s="10"/>
      <c r="H778" s="10"/>
      <c r="I778" s="1"/>
      <c r="J778" s="1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20"/>
      <c r="D779" s="3"/>
      <c r="E779" s="3"/>
      <c r="F779" s="10"/>
      <c r="G779" s="10"/>
      <c r="H779" s="10"/>
      <c r="I779" s="1"/>
      <c r="J779" s="1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20"/>
      <c r="D780" s="3"/>
      <c r="E780" s="3"/>
      <c r="F780" s="10"/>
      <c r="G780" s="10"/>
      <c r="H780" s="10"/>
      <c r="I780" s="1"/>
      <c r="J780" s="1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20"/>
      <c r="D781" s="3"/>
      <c r="E781" s="3"/>
      <c r="F781" s="10"/>
      <c r="G781" s="10"/>
      <c r="H781" s="10"/>
      <c r="I781" s="1"/>
      <c r="J781" s="1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20"/>
      <c r="D782" s="3"/>
      <c r="E782" s="3"/>
      <c r="F782" s="10"/>
      <c r="G782" s="10"/>
      <c r="H782" s="10"/>
      <c r="I782" s="1"/>
      <c r="J782" s="1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20"/>
      <c r="D783" s="3"/>
      <c r="E783" s="3"/>
      <c r="F783" s="10"/>
      <c r="G783" s="10"/>
      <c r="H783" s="10"/>
      <c r="I783" s="1"/>
      <c r="J783" s="1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20"/>
      <c r="D784" s="3"/>
      <c r="E784" s="3"/>
      <c r="F784" s="10"/>
      <c r="G784" s="10"/>
      <c r="H784" s="10"/>
      <c r="I784" s="1"/>
      <c r="J784" s="1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20"/>
      <c r="D785" s="3"/>
      <c r="E785" s="3"/>
      <c r="F785" s="10"/>
      <c r="G785" s="10"/>
      <c r="H785" s="10"/>
      <c r="I785" s="1"/>
      <c r="J785" s="1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20"/>
      <c r="D786" s="3"/>
      <c r="E786" s="3"/>
      <c r="F786" s="10"/>
      <c r="G786" s="10"/>
      <c r="H786" s="10"/>
      <c r="I786" s="1"/>
      <c r="J786" s="1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20"/>
      <c r="D787" s="3"/>
      <c r="E787" s="3"/>
      <c r="F787" s="10"/>
      <c r="G787" s="10"/>
      <c r="H787" s="10"/>
      <c r="I787" s="1"/>
      <c r="J787" s="1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20"/>
      <c r="D788" s="3"/>
      <c r="E788" s="3"/>
      <c r="F788" s="10"/>
      <c r="G788" s="10"/>
      <c r="H788" s="10"/>
      <c r="I788" s="1"/>
      <c r="J788" s="1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20"/>
      <c r="D789" s="3"/>
      <c r="E789" s="3"/>
      <c r="F789" s="10"/>
      <c r="G789" s="10"/>
      <c r="H789" s="10"/>
      <c r="I789" s="1"/>
      <c r="J789" s="1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20"/>
      <c r="D790" s="3"/>
      <c r="E790" s="3"/>
      <c r="F790" s="10"/>
      <c r="G790" s="10"/>
      <c r="H790" s="10"/>
      <c r="I790" s="1"/>
      <c r="J790" s="1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20"/>
      <c r="D791" s="3"/>
      <c r="E791" s="3"/>
      <c r="F791" s="10"/>
      <c r="G791" s="10"/>
      <c r="H791" s="10"/>
      <c r="I791" s="1"/>
      <c r="J791" s="1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20"/>
      <c r="D792" s="3"/>
      <c r="E792" s="3"/>
      <c r="F792" s="10"/>
      <c r="G792" s="10"/>
      <c r="H792" s="10"/>
      <c r="I792" s="1"/>
      <c r="J792" s="1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20"/>
      <c r="D793" s="3"/>
      <c r="E793" s="3"/>
      <c r="F793" s="10"/>
      <c r="G793" s="10"/>
      <c r="H793" s="10"/>
      <c r="I793" s="1"/>
      <c r="J793" s="1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20"/>
      <c r="D794" s="3"/>
      <c r="E794" s="3"/>
      <c r="F794" s="10"/>
      <c r="G794" s="10"/>
      <c r="H794" s="10"/>
      <c r="I794" s="1"/>
      <c r="J794" s="1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20"/>
      <c r="D795" s="3"/>
      <c r="E795" s="3"/>
      <c r="F795" s="10"/>
      <c r="G795" s="10"/>
      <c r="H795" s="10"/>
      <c r="I795" s="1"/>
      <c r="J795" s="1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20"/>
      <c r="D796" s="3"/>
      <c r="E796" s="3"/>
      <c r="F796" s="10"/>
      <c r="G796" s="10"/>
      <c r="H796" s="10"/>
      <c r="I796" s="1"/>
      <c r="J796" s="1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20"/>
      <c r="D797" s="3"/>
      <c r="E797" s="3"/>
      <c r="F797" s="10"/>
      <c r="G797" s="10"/>
      <c r="H797" s="10"/>
      <c r="I797" s="1"/>
      <c r="J797" s="1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20"/>
      <c r="D798" s="3"/>
      <c r="E798" s="3"/>
      <c r="F798" s="10"/>
      <c r="G798" s="10"/>
      <c r="H798" s="10"/>
      <c r="I798" s="1"/>
      <c r="J798" s="1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20"/>
      <c r="D799" s="3"/>
      <c r="E799" s="3"/>
      <c r="F799" s="10"/>
      <c r="G799" s="10"/>
      <c r="H799" s="10"/>
      <c r="I799" s="1"/>
      <c r="J799" s="1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20"/>
      <c r="D800" s="3"/>
      <c r="E800" s="3"/>
      <c r="F800" s="10"/>
      <c r="G800" s="10"/>
      <c r="H800" s="10"/>
      <c r="I800" s="1"/>
      <c r="J800" s="1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20"/>
      <c r="D801" s="3"/>
      <c r="E801" s="3"/>
      <c r="F801" s="10"/>
      <c r="G801" s="10"/>
      <c r="H801" s="10"/>
      <c r="I801" s="1"/>
      <c r="J801" s="1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20"/>
      <c r="D802" s="3"/>
      <c r="E802" s="3"/>
      <c r="F802" s="10"/>
      <c r="G802" s="10"/>
      <c r="H802" s="10"/>
      <c r="I802" s="1"/>
      <c r="J802" s="1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20"/>
      <c r="D803" s="3"/>
      <c r="E803" s="3"/>
      <c r="F803" s="10"/>
      <c r="G803" s="10"/>
      <c r="H803" s="10"/>
      <c r="I803" s="1"/>
      <c r="J803" s="1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20"/>
      <c r="D804" s="3"/>
      <c r="E804" s="3"/>
      <c r="F804" s="10"/>
      <c r="G804" s="10"/>
      <c r="H804" s="10"/>
      <c r="I804" s="1"/>
      <c r="J804" s="1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20"/>
      <c r="D805" s="3"/>
      <c r="E805" s="3"/>
      <c r="F805" s="10"/>
      <c r="G805" s="10"/>
      <c r="H805" s="10"/>
      <c r="I805" s="1"/>
      <c r="J805" s="1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20"/>
      <c r="D806" s="3"/>
      <c r="E806" s="3"/>
      <c r="F806" s="10"/>
      <c r="G806" s="10"/>
      <c r="H806" s="10"/>
      <c r="I806" s="1"/>
      <c r="J806" s="1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20"/>
      <c r="D807" s="3"/>
      <c r="E807" s="3"/>
      <c r="F807" s="10"/>
      <c r="G807" s="10"/>
      <c r="H807" s="10"/>
      <c r="I807" s="1"/>
      <c r="J807" s="1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20"/>
      <c r="D808" s="3"/>
      <c r="E808" s="3"/>
      <c r="F808" s="10"/>
      <c r="G808" s="10"/>
      <c r="H808" s="10"/>
      <c r="I808" s="1"/>
      <c r="J808" s="1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20"/>
      <c r="D809" s="3"/>
      <c r="E809" s="3"/>
      <c r="F809" s="10"/>
      <c r="G809" s="10"/>
      <c r="H809" s="10"/>
      <c r="I809" s="1"/>
      <c r="J809" s="1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20"/>
      <c r="D810" s="3"/>
      <c r="E810" s="3"/>
      <c r="F810" s="10"/>
      <c r="G810" s="10"/>
      <c r="H810" s="10"/>
      <c r="I810" s="1"/>
      <c r="J810" s="1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20"/>
      <c r="D811" s="3"/>
      <c r="E811" s="3"/>
      <c r="F811" s="10"/>
      <c r="G811" s="10"/>
      <c r="H811" s="10"/>
      <c r="I811" s="1"/>
      <c r="J811" s="1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20"/>
      <c r="D812" s="3"/>
      <c r="E812" s="3"/>
      <c r="F812" s="10"/>
      <c r="G812" s="10"/>
      <c r="H812" s="10"/>
      <c r="I812" s="1"/>
      <c r="J812" s="1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20"/>
      <c r="D813" s="3"/>
      <c r="E813" s="3"/>
      <c r="F813" s="10"/>
      <c r="G813" s="10"/>
      <c r="H813" s="10"/>
      <c r="I813" s="1"/>
      <c r="J813" s="1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20"/>
      <c r="D814" s="3"/>
      <c r="E814" s="3"/>
      <c r="F814" s="10"/>
      <c r="G814" s="10"/>
      <c r="H814" s="10"/>
      <c r="I814" s="1"/>
      <c r="J814" s="1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20"/>
      <c r="D815" s="3"/>
      <c r="E815" s="3"/>
      <c r="F815" s="10"/>
      <c r="G815" s="10"/>
      <c r="H815" s="10"/>
      <c r="I815" s="1"/>
      <c r="J815" s="1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20"/>
      <c r="D816" s="3"/>
      <c r="E816" s="3"/>
      <c r="F816" s="10"/>
      <c r="G816" s="10"/>
      <c r="H816" s="10"/>
      <c r="I816" s="1"/>
      <c r="J816" s="1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20"/>
      <c r="D817" s="3"/>
      <c r="E817" s="3"/>
      <c r="F817" s="10"/>
      <c r="G817" s="10"/>
      <c r="H817" s="10"/>
      <c r="I817" s="1"/>
      <c r="J817" s="1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20"/>
      <c r="D818" s="3"/>
      <c r="E818" s="3"/>
      <c r="F818" s="10"/>
      <c r="G818" s="10"/>
      <c r="H818" s="10"/>
      <c r="I818" s="1"/>
      <c r="J818" s="1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20"/>
      <c r="D819" s="3"/>
      <c r="E819" s="3"/>
      <c r="F819" s="10"/>
      <c r="G819" s="10"/>
      <c r="H819" s="10"/>
      <c r="I819" s="1"/>
      <c r="J819" s="1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20"/>
      <c r="D820" s="3"/>
      <c r="E820" s="3"/>
      <c r="F820" s="10"/>
      <c r="G820" s="10"/>
      <c r="H820" s="10"/>
      <c r="I820" s="1"/>
      <c r="J820" s="1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20"/>
      <c r="D821" s="3"/>
      <c r="E821" s="3"/>
      <c r="F821" s="10"/>
      <c r="G821" s="10"/>
      <c r="H821" s="10"/>
      <c r="I821" s="1"/>
      <c r="J821" s="1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20"/>
      <c r="D822" s="3"/>
      <c r="E822" s="3"/>
      <c r="F822" s="10"/>
      <c r="G822" s="10"/>
      <c r="H822" s="10"/>
      <c r="I822" s="1"/>
      <c r="J822" s="1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20"/>
      <c r="D823" s="3"/>
      <c r="E823" s="3"/>
      <c r="F823" s="10"/>
      <c r="G823" s="10"/>
      <c r="H823" s="10"/>
      <c r="I823" s="1"/>
      <c r="J823" s="1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20"/>
      <c r="D824" s="3"/>
      <c r="E824" s="3"/>
      <c r="F824" s="10"/>
      <c r="G824" s="10"/>
      <c r="H824" s="10"/>
      <c r="I824" s="1"/>
      <c r="J824" s="1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20"/>
      <c r="D825" s="3"/>
      <c r="E825" s="3"/>
      <c r="F825" s="10"/>
      <c r="G825" s="10"/>
      <c r="H825" s="10"/>
      <c r="I825" s="1"/>
      <c r="J825" s="1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20"/>
      <c r="D826" s="3"/>
      <c r="E826" s="3"/>
      <c r="F826" s="10"/>
      <c r="G826" s="10"/>
      <c r="H826" s="10"/>
      <c r="I826" s="1"/>
      <c r="J826" s="1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20"/>
      <c r="D827" s="3"/>
      <c r="E827" s="3"/>
      <c r="F827" s="10"/>
      <c r="G827" s="10"/>
      <c r="H827" s="10"/>
      <c r="I827" s="1"/>
      <c r="J827" s="1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20"/>
      <c r="D828" s="3"/>
      <c r="E828" s="3"/>
      <c r="F828" s="10"/>
      <c r="G828" s="10"/>
      <c r="H828" s="10"/>
      <c r="I828" s="1"/>
      <c r="J828" s="1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20"/>
      <c r="D829" s="3"/>
      <c r="E829" s="3"/>
      <c r="F829" s="10"/>
      <c r="G829" s="10"/>
      <c r="H829" s="10"/>
      <c r="I829" s="1"/>
      <c r="J829" s="1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20"/>
      <c r="D830" s="3"/>
      <c r="E830" s="3"/>
      <c r="F830" s="10"/>
      <c r="G830" s="10"/>
      <c r="H830" s="10"/>
      <c r="I830" s="1"/>
      <c r="J830" s="1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20"/>
      <c r="D831" s="3"/>
      <c r="E831" s="3"/>
      <c r="F831" s="10"/>
      <c r="G831" s="10"/>
      <c r="H831" s="10"/>
      <c r="I831" s="1"/>
      <c r="J831" s="1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20"/>
      <c r="D832" s="3"/>
      <c r="E832" s="3"/>
      <c r="F832" s="10"/>
      <c r="G832" s="10"/>
      <c r="H832" s="10"/>
      <c r="I832" s="1"/>
      <c r="J832" s="1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20"/>
      <c r="D833" s="3"/>
      <c r="E833" s="3"/>
      <c r="F833" s="10"/>
      <c r="G833" s="10"/>
      <c r="H833" s="10"/>
      <c r="I833" s="1"/>
      <c r="J833" s="1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20"/>
      <c r="D834" s="3"/>
      <c r="E834" s="3"/>
      <c r="F834" s="10"/>
      <c r="G834" s="10"/>
      <c r="H834" s="10"/>
      <c r="I834" s="1"/>
      <c r="J834" s="1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20"/>
      <c r="D835" s="3"/>
      <c r="E835" s="3"/>
      <c r="F835" s="10"/>
      <c r="G835" s="10"/>
      <c r="H835" s="10"/>
      <c r="I835" s="1"/>
      <c r="J835" s="1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20"/>
      <c r="D836" s="3"/>
      <c r="E836" s="3"/>
      <c r="F836" s="10"/>
      <c r="G836" s="10"/>
      <c r="H836" s="10"/>
      <c r="I836" s="1"/>
      <c r="J836" s="1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20"/>
      <c r="D837" s="3"/>
      <c r="E837" s="3"/>
      <c r="F837" s="10"/>
      <c r="G837" s="10"/>
      <c r="H837" s="10"/>
      <c r="I837" s="1"/>
      <c r="J837" s="1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20"/>
      <c r="D838" s="3"/>
      <c r="E838" s="3"/>
      <c r="F838" s="10"/>
      <c r="G838" s="10"/>
      <c r="H838" s="10"/>
      <c r="I838" s="1"/>
      <c r="J838" s="1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20"/>
      <c r="D839" s="3"/>
      <c r="E839" s="3"/>
      <c r="F839" s="10"/>
      <c r="G839" s="10"/>
      <c r="H839" s="10"/>
      <c r="I839" s="1"/>
      <c r="J839" s="1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20"/>
      <c r="D840" s="3"/>
      <c r="E840" s="3"/>
      <c r="F840" s="10"/>
      <c r="G840" s="10"/>
      <c r="H840" s="10"/>
      <c r="I840" s="1"/>
      <c r="J840" s="1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20"/>
      <c r="D841" s="3"/>
      <c r="E841" s="3"/>
      <c r="F841" s="10"/>
      <c r="G841" s="10"/>
      <c r="H841" s="10"/>
      <c r="I841" s="1"/>
      <c r="J841" s="1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20"/>
      <c r="D842" s="3"/>
      <c r="E842" s="3"/>
      <c r="F842" s="10"/>
      <c r="G842" s="10"/>
      <c r="H842" s="10"/>
      <c r="I842" s="1"/>
      <c r="J842" s="1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20"/>
      <c r="D843" s="3"/>
      <c r="E843" s="3"/>
      <c r="F843" s="10"/>
      <c r="G843" s="10"/>
      <c r="H843" s="10"/>
      <c r="I843" s="1"/>
      <c r="J843" s="1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20"/>
      <c r="D844" s="3"/>
      <c r="E844" s="3"/>
      <c r="F844" s="10"/>
      <c r="G844" s="10"/>
      <c r="H844" s="10"/>
      <c r="I844" s="1"/>
      <c r="J844" s="1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20"/>
      <c r="D845" s="3"/>
      <c r="E845" s="3"/>
      <c r="F845" s="10"/>
      <c r="G845" s="10"/>
      <c r="H845" s="10"/>
      <c r="I845" s="1"/>
      <c r="J845" s="1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20"/>
      <c r="D846" s="3"/>
      <c r="E846" s="3"/>
      <c r="F846" s="10"/>
      <c r="G846" s="10"/>
      <c r="H846" s="10"/>
      <c r="I846" s="1"/>
      <c r="J846" s="1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20"/>
      <c r="D847" s="3"/>
      <c r="E847" s="3"/>
      <c r="F847" s="10"/>
      <c r="G847" s="10"/>
      <c r="H847" s="10"/>
      <c r="I847" s="1"/>
      <c r="J847" s="1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20"/>
      <c r="D848" s="3"/>
      <c r="E848" s="3"/>
      <c r="F848" s="10"/>
      <c r="G848" s="10"/>
      <c r="H848" s="10"/>
      <c r="I848" s="1"/>
      <c r="J848" s="1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20"/>
      <c r="D849" s="3"/>
      <c r="E849" s="3"/>
      <c r="F849" s="10"/>
      <c r="G849" s="10"/>
      <c r="H849" s="10"/>
      <c r="I849" s="1"/>
      <c r="J849" s="1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20"/>
      <c r="D850" s="3"/>
      <c r="E850" s="3"/>
      <c r="F850" s="10"/>
      <c r="G850" s="10"/>
      <c r="H850" s="10"/>
      <c r="I850" s="1"/>
      <c r="J850" s="1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20"/>
      <c r="D851" s="3"/>
      <c r="E851" s="3"/>
      <c r="F851" s="10"/>
      <c r="G851" s="10"/>
      <c r="H851" s="10"/>
      <c r="I851" s="1"/>
      <c r="J851" s="1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20"/>
      <c r="D852" s="3"/>
      <c r="E852" s="3"/>
      <c r="F852" s="10"/>
      <c r="G852" s="10"/>
      <c r="H852" s="10"/>
      <c r="I852" s="1"/>
      <c r="J852" s="1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20"/>
      <c r="D853" s="3"/>
      <c r="E853" s="3"/>
      <c r="F853" s="10"/>
      <c r="G853" s="10"/>
      <c r="H853" s="10"/>
      <c r="I853" s="1"/>
      <c r="J853" s="1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20"/>
      <c r="D854" s="3"/>
      <c r="E854" s="3"/>
      <c r="F854" s="10"/>
      <c r="G854" s="10"/>
      <c r="H854" s="10"/>
      <c r="I854" s="1"/>
      <c r="J854" s="1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20"/>
      <c r="D855" s="3"/>
      <c r="E855" s="3"/>
      <c r="F855" s="10"/>
      <c r="G855" s="10"/>
      <c r="H855" s="10"/>
      <c r="I855" s="1"/>
      <c r="J855" s="1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20"/>
      <c r="D856" s="3"/>
      <c r="E856" s="3"/>
      <c r="F856" s="10"/>
      <c r="G856" s="10"/>
      <c r="H856" s="10"/>
      <c r="I856" s="1"/>
      <c r="J856" s="1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20"/>
      <c r="D857" s="3"/>
      <c r="E857" s="3"/>
      <c r="F857" s="10"/>
      <c r="G857" s="10"/>
      <c r="H857" s="10"/>
      <c r="I857" s="1"/>
      <c r="J857" s="1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20"/>
      <c r="D858" s="3"/>
      <c r="E858" s="3"/>
      <c r="F858" s="10"/>
      <c r="G858" s="10"/>
      <c r="H858" s="10"/>
      <c r="I858" s="1"/>
      <c r="J858" s="1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20"/>
      <c r="D859" s="3"/>
      <c r="E859" s="3"/>
      <c r="F859" s="10"/>
      <c r="G859" s="10"/>
      <c r="H859" s="10"/>
      <c r="I859" s="1"/>
      <c r="J859" s="1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20"/>
      <c r="D860" s="3"/>
      <c r="E860" s="3"/>
      <c r="F860" s="10"/>
      <c r="G860" s="10"/>
      <c r="H860" s="10"/>
      <c r="I860" s="1"/>
      <c r="J860" s="1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20"/>
      <c r="D861" s="3"/>
      <c r="E861" s="3"/>
      <c r="F861" s="10"/>
      <c r="G861" s="10"/>
      <c r="H861" s="10"/>
      <c r="I861" s="1"/>
      <c r="J861" s="1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20"/>
      <c r="D862" s="3"/>
      <c r="E862" s="3"/>
      <c r="F862" s="10"/>
      <c r="G862" s="10"/>
      <c r="H862" s="10"/>
      <c r="I862" s="1"/>
      <c r="J862" s="1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20"/>
      <c r="D863" s="3"/>
      <c r="E863" s="3"/>
      <c r="F863" s="10"/>
      <c r="G863" s="10"/>
      <c r="H863" s="10"/>
      <c r="I863" s="1"/>
      <c r="J863" s="1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20"/>
      <c r="D864" s="3"/>
      <c r="E864" s="3"/>
      <c r="F864" s="10"/>
      <c r="G864" s="10"/>
      <c r="H864" s="10"/>
      <c r="I864" s="1"/>
      <c r="J864" s="1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20"/>
      <c r="D865" s="3"/>
      <c r="E865" s="3"/>
      <c r="F865" s="10"/>
      <c r="G865" s="10"/>
      <c r="H865" s="10"/>
      <c r="I865" s="1"/>
      <c r="J865" s="1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20"/>
      <c r="D866" s="3"/>
      <c r="E866" s="3"/>
      <c r="F866" s="10"/>
      <c r="G866" s="10"/>
      <c r="H866" s="10"/>
      <c r="I866" s="1"/>
      <c r="J866" s="1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20"/>
      <c r="D867" s="3"/>
      <c r="E867" s="3"/>
      <c r="F867" s="10"/>
      <c r="G867" s="10"/>
      <c r="H867" s="10"/>
      <c r="I867" s="1"/>
      <c r="J867" s="1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20"/>
      <c r="D868" s="3"/>
      <c r="E868" s="3"/>
      <c r="F868" s="10"/>
      <c r="G868" s="10"/>
      <c r="H868" s="10"/>
      <c r="I868" s="1"/>
      <c r="J868" s="1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20"/>
      <c r="D869" s="3"/>
      <c r="E869" s="3"/>
      <c r="F869" s="10"/>
      <c r="G869" s="10"/>
      <c r="H869" s="10"/>
      <c r="I869" s="1"/>
      <c r="J869" s="1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20"/>
      <c r="D870" s="3"/>
      <c r="E870" s="3"/>
      <c r="F870" s="10"/>
      <c r="G870" s="10"/>
      <c r="H870" s="10"/>
      <c r="I870" s="1"/>
      <c r="J870" s="1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20"/>
      <c r="D871" s="3"/>
      <c r="E871" s="3"/>
      <c r="F871" s="10"/>
      <c r="G871" s="10"/>
      <c r="H871" s="10"/>
      <c r="I871" s="1"/>
      <c r="J871" s="1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20"/>
      <c r="D872" s="3"/>
      <c r="E872" s="3"/>
      <c r="F872" s="10"/>
      <c r="G872" s="10"/>
      <c r="H872" s="10"/>
      <c r="I872" s="1"/>
      <c r="J872" s="1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20"/>
      <c r="D873" s="3"/>
      <c r="E873" s="3"/>
      <c r="F873" s="10"/>
      <c r="G873" s="10"/>
      <c r="H873" s="10"/>
      <c r="I873" s="1"/>
      <c r="J873" s="1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20"/>
      <c r="D874" s="3"/>
      <c r="E874" s="3"/>
      <c r="F874" s="10"/>
      <c r="G874" s="10"/>
      <c r="H874" s="10"/>
      <c r="I874" s="1"/>
      <c r="J874" s="1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20"/>
      <c r="D875" s="3"/>
      <c r="E875" s="3"/>
      <c r="F875" s="10"/>
      <c r="G875" s="10"/>
      <c r="H875" s="10"/>
      <c r="I875" s="1"/>
      <c r="J875" s="1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20"/>
      <c r="D876" s="3"/>
      <c r="E876" s="3"/>
      <c r="F876" s="10"/>
      <c r="G876" s="10"/>
      <c r="H876" s="10"/>
      <c r="I876" s="1"/>
      <c r="J876" s="1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20"/>
      <c r="D877" s="3"/>
      <c r="E877" s="3"/>
      <c r="F877" s="10"/>
      <c r="G877" s="10"/>
      <c r="H877" s="10"/>
      <c r="I877" s="1"/>
      <c r="J877" s="1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20"/>
      <c r="D878" s="3"/>
      <c r="E878" s="3"/>
      <c r="F878" s="10"/>
      <c r="G878" s="10"/>
      <c r="H878" s="10"/>
      <c r="I878" s="1"/>
      <c r="J878" s="1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20"/>
      <c r="D879" s="3"/>
      <c r="E879" s="3"/>
      <c r="F879" s="10"/>
      <c r="G879" s="10"/>
      <c r="H879" s="10"/>
      <c r="I879" s="1"/>
      <c r="J879" s="1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20"/>
      <c r="D880" s="3"/>
      <c r="E880" s="3"/>
      <c r="F880" s="10"/>
      <c r="G880" s="10"/>
      <c r="H880" s="10"/>
      <c r="I880" s="1"/>
      <c r="J880" s="1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20"/>
      <c r="D881" s="3"/>
      <c r="E881" s="3"/>
      <c r="F881" s="10"/>
      <c r="G881" s="10"/>
      <c r="H881" s="10"/>
      <c r="I881" s="1"/>
      <c r="J881" s="1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20"/>
      <c r="D882" s="3"/>
      <c r="E882" s="3"/>
      <c r="F882" s="10"/>
      <c r="G882" s="10"/>
      <c r="H882" s="10"/>
      <c r="I882" s="1"/>
      <c r="J882" s="1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20"/>
      <c r="D883" s="3"/>
      <c r="E883" s="3"/>
      <c r="F883" s="10"/>
      <c r="G883" s="10"/>
      <c r="H883" s="10"/>
      <c r="I883" s="1"/>
      <c r="J883" s="1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20"/>
      <c r="D884" s="3"/>
      <c r="E884" s="3"/>
      <c r="F884" s="10"/>
      <c r="G884" s="10"/>
      <c r="H884" s="10"/>
      <c r="I884" s="1"/>
      <c r="J884" s="1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20"/>
      <c r="D885" s="3"/>
      <c r="E885" s="3"/>
      <c r="F885" s="10"/>
      <c r="G885" s="10"/>
      <c r="H885" s="10"/>
      <c r="I885" s="1"/>
      <c r="J885" s="1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20"/>
      <c r="D886" s="3"/>
      <c r="E886" s="3"/>
      <c r="F886" s="10"/>
      <c r="G886" s="10"/>
      <c r="H886" s="10"/>
      <c r="I886" s="1"/>
      <c r="J886" s="1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20"/>
      <c r="D887" s="3"/>
      <c r="E887" s="3"/>
      <c r="F887" s="10"/>
      <c r="G887" s="10"/>
      <c r="H887" s="10"/>
      <c r="I887" s="1"/>
      <c r="J887" s="1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20"/>
      <c r="D888" s="3"/>
      <c r="E888" s="3"/>
      <c r="F888" s="10"/>
      <c r="G888" s="10"/>
      <c r="H888" s="10"/>
      <c r="I888" s="1"/>
      <c r="J888" s="1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20"/>
      <c r="D889" s="3"/>
      <c r="E889" s="3"/>
      <c r="F889" s="10"/>
      <c r="G889" s="10"/>
      <c r="H889" s="10"/>
      <c r="I889" s="1"/>
      <c r="J889" s="1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20"/>
      <c r="D890" s="3"/>
      <c r="E890" s="3"/>
      <c r="F890" s="10"/>
      <c r="G890" s="10"/>
      <c r="H890" s="10"/>
      <c r="I890" s="1"/>
      <c r="J890" s="1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20"/>
      <c r="D891" s="3"/>
      <c r="E891" s="3"/>
      <c r="F891" s="10"/>
      <c r="G891" s="10"/>
      <c r="H891" s="10"/>
      <c r="I891" s="1"/>
      <c r="J891" s="1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20"/>
      <c r="D892" s="3"/>
      <c r="E892" s="3"/>
      <c r="F892" s="10"/>
      <c r="G892" s="10"/>
      <c r="H892" s="10"/>
      <c r="I892" s="1"/>
      <c r="J892" s="1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20"/>
      <c r="D893" s="3"/>
      <c r="E893" s="3"/>
      <c r="F893" s="10"/>
      <c r="G893" s="10"/>
      <c r="H893" s="10"/>
      <c r="I893" s="1"/>
      <c r="J893" s="1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20"/>
      <c r="D894" s="3"/>
      <c r="E894" s="3"/>
      <c r="F894" s="10"/>
      <c r="G894" s="10"/>
      <c r="H894" s="10"/>
      <c r="I894" s="1"/>
      <c r="J894" s="1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20"/>
      <c r="D895" s="3"/>
      <c r="E895" s="3"/>
      <c r="F895" s="10"/>
      <c r="G895" s="10"/>
      <c r="H895" s="10"/>
      <c r="I895" s="1"/>
      <c r="J895" s="1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20"/>
      <c r="D896" s="3"/>
      <c r="E896" s="3"/>
      <c r="F896" s="10"/>
      <c r="G896" s="10"/>
      <c r="H896" s="10"/>
      <c r="I896" s="1"/>
      <c r="J896" s="1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20"/>
      <c r="D897" s="3"/>
      <c r="E897" s="3"/>
      <c r="F897" s="10"/>
      <c r="G897" s="10"/>
      <c r="H897" s="10"/>
      <c r="I897" s="1"/>
      <c r="J897" s="1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20"/>
      <c r="D898" s="3"/>
      <c r="E898" s="3"/>
      <c r="F898" s="10"/>
      <c r="G898" s="10"/>
      <c r="H898" s="10"/>
      <c r="I898" s="1"/>
      <c r="J898" s="1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20"/>
      <c r="D899" s="3"/>
      <c r="E899" s="3"/>
      <c r="F899" s="10"/>
      <c r="G899" s="10"/>
      <c r="H899" s="10"/>
      <c r="I899" s="1"/>
      <c r="J899" s="1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20"/>
      <c r="D900" s="3"/>
      <c r="E900" s="3"/>
      <c r="F900" s="10"/>
      <c r="G900" s="10"/>
      <c r="H900" s="10"/>
      <c r="I900" s="1"/>
      <c r="J900" s="1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20"/>
      <c r="D901" s="3"/>
      <c r="E901" s="3"/>
      <c r="F901" s="10"/>
      <c r="G901" s="10"/>
      <c r="H901" s="10"/>
      <c r="I901" s="1"/>
      <c r="J901" s="1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20"/>
      <c r="D902" s="3"/>
      <c r="E902" s="3"/>
      <c r="F902" s="10"/>
      <c r="G902" s="10"/>
      <c r="H902" s="10"/>
      <c r="I902" s="1"/>
      <c r="J902" s="1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20"/>
      <c r="D903" s="3"/>
      <c r="E903" s="3"/>
      <c r="F903" s="10"/>
      <c r="G903" s="10"/>
      <c r="H903" s="10"/>
      <c r="I903" s="1"/>
      <c r="J903" s="1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20"/>
      <c r="D904" s="3"/>
      <c r="E904" s="3"/>
      <c r="F904" s="10"/>
      <c r="G904" s="10"/>
      <c r="H904" s="10"/>
      <c r="I904" s="1"/>
      <c r="J904" s="1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20"/>
      <c r="D905" s="3"/>
      <c r="E905" s="3"/>
      <c r="F905" s="10"/>
      <c r="G905" s="10"/>
      <c r="H905" s="10"/>
      <c r="I905" s="1"/>
      <c r="J905" s="1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20"/>
      <c r="D906" s="3"/>
      <c r="E906" s="3"/>
      <c r="F906" s="10"/>
      <c r="G906" s="10"/>
      <c r="H906" s="10"/>
      <c r="I906" s="1"/>
      <c r="J906" s="1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20"/>
      <c r="D907" s="3"/>
      <c r="E907" s="3"/>
      <c r="F907" s="10"/>
      <c r="G907" s="10"/>
      <c r="H907" s="10"/>
      <c r="I907" s="1"/>
      <c r="J907" s="1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20"/>
      <c r="D908" s="3"/>
      <c r="E908" s="3"/>
      <c r="F908" s="10"/>
      <c r="G908" s="10"/>
      <c r="H908" s="10"/>
      <c r="I908" s="1"/>
      <c r="J908" s="1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20"/>
      <c r="D909" s="3"/>
      <c r="E909" s="3"/>
      <c r="F909" s="10"/>
      <c r="G909" s="10"/>
      <c r="H909" s="10"/>
      <c r="I909" s="1"/>
      <c r="J909" s="1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20"/>
      <c r="D910" s="3"/>
      <c r="E910" s="3"/>
      <c r="F910" s="10"/>
      <c r="G910" s="10"/>
      <c r="H910" s="10"/>
      <c r="I910" s="1"/>
      <c r="J910" s="1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20"/>
      <c r="D911" s="3"/>
      <c r="E911" s="3"/>
      <c r="F911" s="10"/>
      <c r="G911" s="10"/>
      <c r="H911" s="10"/>
      <c r="I911" s="1"/>
      <c r="J911" s="1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20"/>
      <c r="D912" s="3"/>
      <c r="E912" s="3"/>
      <c r="F912" s="10"/>
      <c r="G912" s="10"/>
      <c r="H912" s="10"/>
      <c r="I912" s="1"/>
      <c r="J912" s="1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20"/>
      <c r="D913" s="3"/>
      <c r="E913" s="3"/>
      <c r="F913" s="10"/>
      <c r="G913" s="10"/>
      <c r="H913" s="10"/>
      <c r="I913" s="1"/>
      <c r="J913" s="1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20"/>
      <c r="D914" s="3"/>
      <c r="E914" s="3"/>
      <c r="F914" s="10"/>
      <c r="G914" s="10"/>
      <c r="H914" s="10"/>
      <c r="I914" s="1"/>
      <c r="J914" s="1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20"/>
      <c r="D915" s="3"/>
      <c r="E915" s="3"/>
      <c r="F915" s="10"/>
      <c r="G915" s="10"/>
      <c r="H915" s="10"/>
      <c r="I915" s="1"/>
      <c r="J915" s="1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20"/>
      <c r="D916" s="3"/>
      <c r="E916" s="3"/>
      <c r="F916" s="10"/>
      <c r="G916" s="10"/>
      <c r="H916" s="10"/>
      <c r="I916" s="1"/>
      <c r="J916" s="1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20"/>
      <c r="D917" s="3"/>
      <c r="E917" s="3"/>
      <c r="F917" s="10"/>
      <c r="G917" s="10"/>
      <c r="H917" s="10"/>
      <c r="I917" s="1"/>
      <c r="J917" s="1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20"/>
      <c r="D918" s="3"/>
      <c r="E918" s="3"/>
      <c r="F918" s="10"/>
      <c r="G918" s="10"/>
      <c r="H918" s="10"/>
      <c r="I918" s="1"/>
      <c r="J918" s="1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20"/>
      <c r="D919" s="3"/>
      <c r="E919" s="3"/>
      <c r="F919" s="10"/>
      <c r="G919" s="10"/>
      <c r="H919" s="10"/>
      <c r="I919" s="1"/>
      <c r="J919" s="1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20"/>
      <c r="D920" s="3"/>
      <c r="E920" s="3"/>
      <c r="F920" s="10"/>
      <c r="G920" s="10"/>
      <c r="H920" s="10"/>
      <c r="I920" s="1"/>
      <c r="J920" s="1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20"/>
      <c r="D921" s="3"/>
      <c r="E921" s="3"/>
      <c r="F921" s="10"/>
      <c r="G921" s="10"/>
      <c r="H921" s="10"/>
      <c r="I921" s="1"/>
      <c r="J921" s="1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20"/>
      <c r="D922" s="3"/>
      <c r="E922" s="3"/>
      <c r="F922" s="10"/>
      <c r="G922" s="10"/>
      <c r="H922" s="10"/>
      <c r="I922" s="1"/>
      <c r="J922" s="1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20"/>
      <c r="D923" s="3"/>
      <c r="E923" s="3"/>
      <c r="F923" s="10"/>
      <c r="G923" s="10"/>
      <c r="H923" s="10"/>
      <c r="I923" s="1"/>
      <c r="J923" s="1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20"/>
      <c r="D924" s="3"/>
      <c r="E924" s="3"/>
      <c r="F924" s="10"/>
      <c r="G924" s="10"/>
      <c r="H924" s="10"/>
      <c r="I924" s="1"/>
      <c r="J924" s="1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20"/>
      <c r="D925" s="3"/>
      <c r="E925" s="3"/>
      <c r="F925" s="10"/>
      <c r="G925" s="10"/>
      <c r="H925" s="10"/>
      <c r="I925" s="1"/>
      <c r="J925" s="1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20"/>
      <c r="D926" s="3"/>
      <c r="E926" s="3"/>
      <c r="F926" s="10"/>
      <c r="G926" s="10"/>
      <c r="H926" s="10"/>
      <c r="I926" s="1"/>
      <c r="J926" s="1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20"/>
      <c r="D927" s="3"/>
      <c r="E927" s="3"/>
      <c r="F927" s="10"/>
      <c r="G927" s="10"/>
      <c r="H927" s="10"/>
      <c r="I927" s="1"/>
      <c r="J927" s="1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20"/>
      <c r="D928" s="3"/>
      <c r="E928" s="3"/>
      <c r="F928" s="10"/>
      <c r="G928" s="10"/>
      <c r="H928" s="10"/>
      <c r="I928" s="1"/>
      <c r="J928" s="1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20"/>
      <c r="D929" s="3"/>
      <c r="E929" s="3"/>
      <c r="F929" s="10"/>
      <c r="G929" s="10"/>
      <c r="H929" s="10"/>
      <c r="I929" s="1"/>
      <c r="J929" s="1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20"/>
      <c r="D930" s="3"/>
      <c r="E930" s="3"/>
      <c r="F930" s="10"/>
      <c r="G930" s="10"/>
      <c r="H930" s="10"/>
      <c r="I930" s="1"/>
      <c r="J930" s="1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20"/>
      <c r="D931" s="3"/>
      <c r="E931" s="3"/>
      <c r="F931" s="10"/>
      <c r="G931" s="10"/>
      <c r="H931" s="10"/>
      <c r="I931" s="1"/>
      <c r="J931" s="1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20"/>
      <c r="D932" s="3"/>
      <c r="E932" s="3"/>
      <c r="F932" s="10"/>
      <c r="G932" s="10"/>
      <c r="H932" s="10"/>
      <c r="I932" s="1"/>
      <c r="J932" s="1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20"/>
      <c r="D933" s="3"/>
      <c r="E933" s="3"/>
      <c r="F933" s="10"/>
      <c r="G933" s="10"/>
      <c r="H933" s="10"/>
      <c r="I933" s="1"/>
      <c r="J933" s="1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20"/>
      <c r="D934" s="3"/>
      <c r="E934" s="3"/>
      <c r="F934" s="10"/>
      <c r="G934" s="10"/>
      <c r="H934" s="10"/>
      <c r="I934" s="1"/>
      <c r="J934" s="1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20"/>
      <c r="D935" s="3"/>
      <c r="E935" s="3"/>
      <c r="F935" s="10"/>
      <c r="G935" s="10"/>
      <c r="H935" s="10"/>
      <c r="I935" s="1"/>
      <c r="J935" s="1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20"/>
      <c r="D936" s="3"/>
      <c r="E936" s="3"/>
      <c r="F936" s="10"/>
      <c r="G936" s="10"/>
      <c r="H936" s="10"/>
      <c r="I936" s="1"/>
      <c r="J936" s="1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20"/>
      <c r="D937" s="3"/>
      <c r="E937" s="3"/>
      <c r="F937" s="10"/>
      <c r="G937" s="10"/>
      <c r="H937" s="10"/>
      <c r="I937" s="1"/>
      <c r="J937" s="1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20"/>
      <c r="D938" s="3"/>
      <c r="E938" s="3"/>
      <c r="F938" s="10"/>
      <c r="G938" s="10"/>
      <c r="H938" s="10"/>
      <c r="I938" s="1"/>
      <c r="J938" s="1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20"/>
      <c r="D939" s="3"/>
      <c r="E939" s="3"/>
      <c r="F939" s="10"/>
      <c r="G939" s="10"/>
      <c r="H939" s="10"/>
      <c r="I939" s="1"/>
      <c r="J939" s="1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20"/>
      <c r="D940" s="3"/>
      <c r="E940" s="3"/>
      <c r="F940" s="10"/>
      <c r="G940" s="10"/>
      <c r="H940" s="10"/>
      <c r="I940" s="1"/>
      <c r="J940" s="1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20"/>
      <c r="D941" s="3"/>
      <c r="E941" s="3"/>
      <c r="F941" s="10"/>
      <c r="G941" s="10"/>
      <c r="H941" s="10"/>
      <c r="I941" s="1"/>
      <c r="J941" s="1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20"/>
      <c r="D942" s="3"/>
      <c r="E942" s="3"/>
      <c r="F942" s="10"/>
      <c r="G942" s="10"/>
      <c r="H942" s="10"/>
      <c r="I942" s="1"/>
      <c r="J942" s="1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20"/>
      <c r="D943" s="3"/>
      <c r="E943" s="3"/>
      <c r="F943" s="10"/>
      <c r="G943" s="10"/>
      <c r="H943" s="10"/>
      <c r="I943" s="1"/>
      <c r="J943" s="1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20"/>
      <c r="D944" s="3"/>
      <c r="E944" s="3"/>
      <c r="F944" s="10"/>
      <c r="G944" s="10"/>
      <c r="H944" s="10"/>
      <c r="I944" s="1"/>
      <c r="J944" s="1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20"/>
      <c r="D945" s="3"/>
      <c r="E945" s="3"/>
      <c r="F945" s="10"/>
      <c r="G945" s="10"/>
      <c r="H945" s="10"/>
      <c r="I945" s="1"/>
      <c r="J945" s="1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20"/>
      <c r="D946" s="3"/>
      <c r="E946" s="3"/>
      <c r="F946" s="10"/>
      <c r="G946" s="10"/>
      <c r="H946" s="10"/>
      <c r="I946" s="1"/>
      <c r="J946" s="1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20"/>
      <c r="D947" s="3"/>
      <c r="E947" s="3"/>
      <c r="F947" s="10"/>
      <c r="G947" s="10"/>
      <c r="H947" s="10"/>
      <c r="I947" s="1"/>
      <c r="J947" s="1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20"/>
      <c r="D948" s="3"/>
      <c r="E948" s="3"/>
      <c r="F948" s="10"/>
      <c r="G948" s="10"/>
      <c r="H948" s="10"/>
      <c r="I948" s="1"/>
      <c r="J948" s="1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20"/>
      <c r="D949" s="3"/>
      <c r="E949" s="3"/>
      <c r="F949" s="10"/>
      <c r="G949" s="10"/>
      <c r="H949" s="10"/>
      <c r="I949" s="1"/>
      <c r="J949" s="1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20"/>
      <c r="D950" s="3"/>
      <c r="E950" s="3"/>
      <c r="F950" s="10"/>
      <c r="G950" s="10"/>
      <c r="H950" s="10"/>
      <c r="I950" s="1"/>
      <c r="J950" s="1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20"/>
      <c r="D951" s="3"/>
      <c r="E951" s="3"/>
      <c r="F951" s="10"/>
      <c r="G951" s="10"/>
      <c r="H951" s="10"/>
      <c r="I951" s="1"/>
      <c r="J951" s="1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20"/>
      <c r="D952" s="3"/>
      <c r="E952" s="3"/>
      <c r="F952" s="10"/>
      <c r="G952" s="10"/>
      <c r="H952" s="10"/>
      <c r="I952" s="1"/>
      <c r="J952" s="1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20"/>
      <c r="D953" s="3"/>
      <c r="E953" s="3"/>
      <c r="F953" s="10"/>
      <c r="G953" s="10"/>
      <c r="H953" s="10"/>
      <c r="I953" s="1"/>
      <c r="J953" s="1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20"/>
      <c r="D954" s="3"/>
      <c r="E954" s="3"/>
      <c r="F954" s="10"/>
      <c r="G954" s="10"/>
      <c r="H954" s="10"/>
      <c r="I954" s="1"/>
      <c r="J954" s="1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20"/>
      <c r="D955" s="3"/>
      <c r="E955" s="3"/>
      <c r="F955" s="10"/>
      <c r="G955" s="10"/>
      <c r="H955" s="10"/>
      <c r="I955" s="1"/>
      <c r="J955" s="1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20"/>
      <c r="D956" s="3"/>
      <c r="E956" s="3"/>
      <c r="F956" s="10"/>
      <c r="G956" s="10"/>
      <c r="H956" s="10"/>
      <c r="I956" s="1"/>
      <c r="J956" s="1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20"/>
      <c r="D957" s="3"/>
      <c r="E957" s="3"/>
      <c r="F957" s="10"/>
      <c r="G957" s="10"/>
      <c r="H957" s="10"/>
      <c r="I957" s="1"/>
      <c r="J957" s="1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20"/>
      <c r="D958" s="3"/>
      <c r="E958" s="3"/>
      <c r="F958" s="10"/>
      <c r="G958" s="10"/>
      <c r="H958" s="10"/>
      <c r="I958" s="1"/>
      <c r="J958" s="1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20"/>
      <c r="D959" s="3"/>
      <c r="E959" s="3"/>
      <c r="F959" s="10"/>
      <c r="G959" s="10"/>
      <c r="H959" s="10"/>
      <c r="I959" s="1"/>
      <c r="J959" s="1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20"/>
      <c r="D960" s="3"/>
      <c r="E960" s="3"/>
      <c r="F960" s="10"/>
      <c r="G960" s="10"/>
      <c r="H960" s="10"/>
      <c r="I960" s="1"/>
      <c r="J960" s="1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20"/>
      <c r="D961" s="3"/>
      <c r="E961" s="3"/>
      <c r="F961" s="10"/>
      <c r="G961" s="10"/>
      <c r="H961" s="10"/>
      <c r="I961" s="1"/>
      <c r="J961" s="1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20"/>
      <c r="D962" s="3"/>
      <c r="E962" s="3"/>
      <c r="F962" s="10"/>
      <c r="G962" s="10"/>
      <c r="H962" s="10"/>
      <c r="I962" s="1"/>
      <c r="J962" s="1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20"/>
      <c r="D963" s="3"/>
      <c r="E963" s="3"/>
      <c r="F963" s="10"/>
      <c r="G963" s="10"/>
      <c r="H963" s="10"/>
      <c r="I963" s="1"/>
      <c r="J963" s="1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20"/>
      <c r="D964" s="3"/>
      <c r="E964" s="3"/>
      <c r="F964" s="10"/>
      <c r="G964" s="10"/>
      <c r="H964" s="10"/>
      <c r="I964" s="1"/>
      <c r="J964" s="1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20"/>
      <c r="D965" s="3"/>
      <c r="E965" s="3"/>
      <c r="F965" s="10"/>
      <c r="G965" s="10"/>
      <c r="H965" s="10"/>
      <c r="I965" s="1"/>
      <c r="J965" s="1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20"/>
      <c r="D966" s="3"/>
      <c r="E966" s="3"/>
      <c r="F966" s="10"/>
      <c r="G966" s="10"/>
      <c r="H966" s="10"/>
      <c r="I966" s="1"/>
      <c r="J966" s="1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20"/>
      <c r="D967" s="3"/>
      <c r="E967" s="3"/>
      <c r="F967" s="10"/>
      <c r="G967" s="10"/>
      <c r="H967" s="10"/>
      <c r="I967" s="1"/>
      <c r="J967" s="1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20"/>
      <c r="D968" s="3"/>
      <c r="E968" s="3"/>
      <c r="F968" s="10"/>
      <c r="G968" s="10"/>
      <c r="H968" s="10"/>
      <c r="I968" s="1"/>
      <c r="J968" s="1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20"/>
      <c r="D969" s="3"/>
      <c r="E969" s="3"/>
      <c r="F969" s="10"/>
      <c r="G969" s="10"/>
      <c r="H969" s="10"/>
      <c r="I969" s="1"/>
      <c r="J969" s="1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20"/>
      <c r="D970" s="3"/>
      <c r="E970" s="3"/>
      <c r="F970" s="10"/>
      <c r="G970" s="10"/>
      <c r="H970" s="10"/>
      <c r="I970" s="1"/>
      <c r="J970" s="1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20"/>
      <c r="D971" s="3"/>
      <c r="E971" s="3"/>
      <c r="F971" s="10"/>
      <c r="G971" s="10"/>
      <c r="H971" s="10"/>
      <c r="I971" s="1"/>
      <c r="J971" s="1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20"/>
      <c r="D972" s="3"/>
      <c r="E972" s="3"/>
      <c r="F972" s="10"/>
      <c r="G972" s="10"/>
      <c r="H972" s="10"/>
      <c r="I972" s="1"/>
      <c r="J972" s="1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20"/>
      <c r="D973" s="3"/>
      <c r="E973" s="3"/>
      <c r="F973" s="10"/>
      <c r="G973" s="10"/>
      <c r="H973" s="10"/>
      <c r="I973" s="1"/>
      <c r="J973" s="1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20"/>
      <c r="D974" s="3"/>
      <c r="E974" s="3"/>
      <c r="F974" s="10"/>
      <c r="G974" s="10"/>
      <c r="H974" s="10"/>
      <c r="I974" s="1"/>
      <c r="J974" s="1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20"/>
      <c r="D975" s="3"/>
      <c r="E975" s="3"/>
      <c r="F975" s="10"/>
      <c r="G975" s="10"/>
      <c r="H975" s="10"/>
      <c r="I975" s="1"/>
      <c r="J975" s="1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20"/>
      <c r="D976" s="3"/>
      <c r="E976" s="3"/>
      <c r="F976" s="10"/>
      <c r="G976" s="10"/>
      <c r="H976" s="10"/>
      <c r="I976" s="1"/>
      <c r="J976" s="1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20"/>
      <c r="D977" s="3"/>
      <c r="E977" s="3"/>
      <c r="F977" s="10"/>
      <c r="G977" s="10"/>
      <c r="H977" s="10"/>
      <c r="I977" s="1"/>
      <c r="J977" s="1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20"/>
      <c r="D978" s="3"/>
      <c r="E978" s="3"/>
      <c r="F978" s="10"/>
      <c r="G978" s="10"/>
      <c r="H978" s="10"/>
      <c r="I978" s="1"/>
      <c r="J978" s="1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20"/>
      <c r="D979" s="3"/>
      <c r="E979" s="3"/>
      <c r="F979" s="10"/>
      <c r="G979" s="10"/>
      <c r="H979" s="10"/>
      <c r="I979" s="1"/>
      <c r="J979" s="1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20"/>
      <c r="D980" s="3"/>
      <c r="E980" s="3"/>
      <c r="F980" s="10"/>
      <c r="G980" s="10"/>
      <c r="H980" s="10"/>
      <c r="I980" s="1"/>
      <c r="J980" s="1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20"/>
      <c r="D981" s="3"/>
      <c r="E981" s="3"/>
      <c r="F981" s="10"/>
      <c r="G981" s="10"/>
      <c r="H981" s="10"/>
      <c r="I981" s="1"/>
      <c r="J981" s="1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20"/>
      <c r="D982" s="3"/>
      <c r="E982" s="3"/>
      <c r="F982" s="10"/>
      <c r="G982" s="10"/>
      <c r="H982" s="10"/>
      <c r="I982" s="1"/>
      <c r="J982" s="1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20"/>
      <c r="D983" s="3"/>
      <c r="E983" s="3"/>
      <c r="F983" s="10"/>
      <c r="G983" s="10"/>
      <c r="H983" s="10"/>
      <c r="I983" s="1"/>
      <c r="J983" s="1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20"/>
      <c r="D984" s="3"/>
      <c r="E984" s="3"/>
      <c r="F984" s="10"/>
      <c r="G984" s="10"/>
      <c r="H984" s="10"/>
      <c r="I984" s="1"/>
      <c r="J984" s="1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20"/>
      <c r="D985" s="3"/>
      <c r="E985" s="3"/>
      <c r="F985" s="10"/>
      <c r="G985" s="10"/>
      <c r="H985" s="10"/>
      <c r="I985" s="1"/>
      <c r="J985" s="1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20"/>
      <c r="D986" s="3"/>
      <c r="E986" s="3"/>
      <c r="F986" s="10"/>
      <c r="G986" s="10"/>
      <c r="H986" s="10"/>
      <c r="I986" s="1"/>
      <c r="J986" s="1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20"/>
      <c r="D987" s="3"/>
      <c r="E987" s="3"/>
      <c r="F987" s="10"/>
      <c r="G987" s="10"/>
      <c r="H987" s="10"/>
      <c r="I987" s="1"/>
      <c r="J987" s="1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20"/>
      <c r="D988" s="3"/>
      <c r="E988" s="3"/>
      <c r="F988" s="10"/>
      <c r="G988" s="10"/>
      <c r="H988" s="10"/>
      <c r="I988" s="1"/>
      <c r="J988" s="1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20"/>
      <c r="D989" s="3"/>
      <c r="E989" s="3"/>
      <c r="F989" s="10"/>
      <c r="G989" s="10"/>
      <c r="H989" s="10"/>
      <c r="I989" s="1"/>
      <c r="J989" s="1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20"/>
      <c r="D990" s="3"/>
      <c r="E990" s="3"/>
      <c r="F990" s="10"/>
      <c r="G990" s="10"/>
      <c r="H990" s="10"/>
      <c r="I990" s="1"/>
      <c r="J990" s="1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20"/>
      <c r="D991" s="3"/>
      <c r="E991" s="3"/>
      <c r="F991" s="10"/>
      <c r="G991" s="10"/>
      <c r="H991" s="10"/>
      <c r="I991" s="1"/>
      <c r="J991" s="1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20"/>
      <c r="D992" s="3"/>
      <c r="E992" s="3"/>
      <c r="F992" s="10"/>
      <c r="G992" s="10"/>
      <c r="H992" s="10"/>
      <c r="I992" s="1"/>
      <c r="J992" s="1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20"/>
      <c r="D993" s="3"/>
      <c r="E993" s="3"/>
      <c r="F993" s="10"/>
      <c r="G993" s="10"/>
      <c r="H993" s="10"/>
      <c r="I993" s="1"/>
      <c r="J993" s="1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20"/>
      <c r="D994" s="3"/>
      <c r="E994" s="3"/>
      <c r="F994" s="10"/>
      <c r="G994" s="10"/>
      <c r="H994" s="10"/>
      <c r="I994" s="1"/>
      <c r="J994" s="1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20"/>
      <c r="D995" s="3"/>
      <c r="E995" s="3"/>
      <c r="F995" s="10"/>
      <c r="G995" s="10"/>
      <c r="H995" s="10"/>
      <c r="I995" s="1"/>
      <c r="J995" s="1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20"/>
      <c r="D996" s="3"/>
      <c r="E996" s="3"/>
      <c r="F996" s="10"/>
      <c r="G996" s="10"/>
      <c r="H996" s="10"/>
      <c r="I996" s="1"/>
      <c r="J996" s="1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20"/>
      <c r="D997" s="3"/>
      <c r="E997" s="3"/>
      <c r="F997" s="10"/>
      <c r="G997" s="10"/>
      <c r="H997" s="10"/>
      <c r="I997" s="1"/>
      <c r="J997" s="1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20"/>
      <c r="D998" s="3"/>
      <c r="E998" s="3"/>
      <c r="F998" s="10"/>
      <c r="G998" s="10"/>
      <c r="H998" s="10"/>
      <c r="I998" s="1"/>
      <c r="J998" s="1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20"/>
      <c r="D999" s="3"/>
      <c r="E999" s="3"/>
      <c r="F999" s="10"/>
      <c r="G999" s="10"/>
      <c r="H999" s="10"/>
      <c r="I999" s="1"/>
      <c r="J999" s="1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20"/>
      <c r="D1000" s="3"/>
      <c r="E1000" s="3"/>
      <c r="F1000" s="10"/>
      <c r="G1000" s="10"/>
      <c r="H1000" s="10"/>
      <c r="I1000" s="1"/>
      <c r="J1000" s="1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1.1023622047244095" right="0.31496062992125984" top="0.74803149606299213" bottom="0.74803149606299213" header="0" footer="0"/>
  <pageSetup paperSize="9" scale="74" orientation="landscape"/>
  <headerFooter>
    <oddHeader>&amp;CDEMOLIÇÕES - 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Z1000"/>
  <sheetViews>
    <sheetView workbookViewId="0">
      <selection activeCell="C673" sqref="C673"/>
    </sheetView>
  </sheetViews>
  <sheetFormatPr defaultColWidth="14.42578125" defaultRowHeight="15" customHeight="1"/>
  <cols>
    <col min="1" max="1" width="17.7109375" customWidth="1"/>
    <col min="2" max="2" width="18.85546875" customWidth="1"/>
    <col min="3" max="3" width="70" customWidth="1"/>
    <col min="4" max="5" width="8" customWidth="1"/>
    <col min="6" max="6" width="10.85546875" customWidth="1"/>
    <col min="7" max="7" width="24.85546875" customWidth="1"/>
    <col min="8" max="8" width="16.7109375" customWidth="1"/>
    <col min="9" max="9" width="9.140625" customWidth="1"/>
    <col min="10" max="10" width="9.140625" hidden="1" customWidth="1"/>
    <col min="11" max="12" width="9.28515625" hidden="1" customWidth="1"/>
    <col min="13" max="13" width="9.140625" customWidth="1"/>
    <col min="14" max="26" width="8.7109375" customWidth="1"/>
  </cols>
  <sheetData>
    <row r="1" spans="1:26" ht="25.5" customHeight="1">
      <c r="C1" s="197" t="s">
        <v>268</v>
      </c>
      <c r="D1" s="198"/>
      <c r="E1" s="198"/>
      <c r="F1" s="199"/>
      <c r="G1" s="22" t="s">
        <v>269</v>
      </c>
      <c r="H1" s="23"/>
      <c r="I1" s="24"/>
      <c r="J1" s="24"/>
      <c r="K1" s="200" t="s">
        <v>270</v>
      </c>
      <c r="L1" s="201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6">
      <c r="A2" s="25" t="s">
        <v>271</v>
      </c>
      <c r="B2" s="25" t="s">
        <v>272</v>
      </c>
      <c r="C2" s="26" t="s">
        <v>273</v>
      </c>
      <c r="D2" s="26" t="s">
        <v>274</v>
      </c>
      <c r="E2" s="26" t="s">
        <v>8</v>
      </c>
      <c r="F2" s="27" t="s">
        <v>275</v>
      </c>
      <c r="G2" s="26" t="s">
        <v>276</v>
      </c>
      <c r="H2" s="26" t="s">
        <v>12</v>
      </c>
      <c r="I2" s="24"/>
      <c r="J2" s="24"/>
      <c r="K2" s="202"/>
      <c r="L2" s="20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6" ht="21.75" customHeight="1">
      <c r="A3" s="28" t="s">
        <v>277</v>
      </c>
      <c r="B3" s="28">
        <v>1</v>
      </c>
      <c r="C3" s="28" t="s">
        <v>278</v>
      </c>
      <c r="D3" s="29"/>
      <c r="E3" s="29"/>
      <c r="F3" s="29"/>
      <c r="G3" s="29"/>
      <c r="H3" s="29"/>
      <c r="I3" s="24"/>
      <c r="J3" s="24"/>
      <c r="K3" s="202"/>
      <c r="L3" s="20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6" ht="45.75" hidden="1" customHeight="1">
      <c r="A4" s="24"/>
      <c r="B4" s="30"/>
      <c r="C4" s="30"/>
      <c r="D4" s="30"/>
      <c r="E4" s="30"/>
      <c r="F4" s="30"/>
      <c r="G4" s="30"/>
      <c r="H4" s="30"/>
      <c r="I4" s="24"/>
      <c r="J4" s="24"/>
      <c r="K4" s="31"/>
      <c r="L4" s="32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5.5" customHeight="1">
      <c r="A5" s="33" t="s">
        <v>277</v>
      </c>
      <c r="B5" s="33" t="s">
        <v>2</v>
      </c>
      <c r="C5" s="34" t="str">
        <f>VLOOKUP(B5,'Composição dos serv'!A:I,3,FALSE)</f>
        <v>SERVIÇOS INICIAIS e PRELIMINARES</v>
      </c>
      <c r="D5" s="35"/>
      <c r="E5" s="35"/>
      <c r="F5" s="35"/>
      <c r="G5" s="35"/>
      <c r="H5" s="36"/>
      <c r="I5" s="24"/>
      <c r="J5" s="24"/>
      <c r="K5" s="31"/>
      <c r="L5" s="3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6" ht="25.5" customHeight="1">
      <c r="A6" s="26" t="s">
        <v>279</v>
      </c>
      <c r="B6" s="26" t="s">
        <v>15</v>
      </c>
      <c r="C6" s="37" t="str">
        <f>VLOOKUP(B6,'Composição dos serv'!A:I,3,FALSE)</f>
        <v>Placa de obra</v>
      </c>
      <c r="D6" s="26" t="str">
        <f>VLOOKUP(B6,'Composição dos serv'!A:I,4,FALSE)</f>
        <v>unid</v>
      </c>
      <c r="E6" s="37">
        <v>3</v>
      </c>
      <c r="F6" s="37"/>
      <c r="G6" s="38">
        <f>SUMIF('Composição dos serv'!A:A,'PESM Itutinga Piloes pt1'!B6,'Composição dos serv'!I:I)</f>
        <v>0</v>
      </c>
      <c r="H6" s="38">
        <f t="shared" ref="H6:H15" si="0">E6*G6</f>
        <v>0</v>
      </c>
      <c r="I6" s="24"/>
      <c r="J6" s="24"/>
      <c r="K6" s="39">
        <f>SUMIF('Composição dos serv'!A:A,B6,'Composição dos serv'!K:K)</f>
        <v>0.9</v>
      </c>
      <c r="L6" s="40">
        <f t="shared" ref="L6:L16" si="1">ROUNDUP(K6*E6,0)</f>
        <v>3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6" ht="25.5" customHeight="1">
      <c r="A7" s="26" t="s">
        <v>279</v>
      </c>
      <c r="B7" s="26" t="s">
        <v>21</v>
      </c>
      <c r="C7" s="37" t="str">
        <f>VLOOKUP(B7,'Composição dos serv'!A:I,3,FALSE)</f>
        <v>Parecer técnico - avaliação de demolições em áreas de risco</v>
      </c>
      <c r="D7" s="26" t="str">
        <f>VLOOKUP(B7,'Composição dos serv'!A:I,4,FALSE)</f>
        <v>unid</v>
      </c>
      <c r="E7" s="37">
        <v>1</v>
      </c>
      <c r="F7" s="37"/>
      <c r="G7" s="38">
        <f>SUMIF('Composição dos serv'!A:A,'PESM Itutinga Piloes pt1'!B7,'Composição dos serv'!I:I)</f>
        <v>0</v>
      </c>
      <c r="H7" s="38">
        <f t="shared" si="0"/>
        <v>0</v>
      </c>
      <c r="I7" s="24"/>
      <c r="J7" s="24"/>
      <c r="K7" s="39">
        <f>SUMIF('Composição dos serv'!A:A,B7,'Composição dos serv'!K:K)</f>
        <v>0.6</v>
      </c>
      <c r="L7" s="40">
        <f t="shared" si="1"/>
        <v>1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6" ht="27.75" hidden="1" customHeight="1">
      <c r="A8" s="26" t="s">
        <v>279</v>
      </c>
      <c r="B8" s="26" t="s">
        <v>26</v>
      </c>
      <c r="C8" s="37" t="str">
        <f>VLOOKUP(B8,'Composição dos serv'!A:I,3,FALSE)</f>
        <v>Tapume para fechamento da obra</v>
      </c>
      <c r="D8" s="26" t="str">
        <f>VLOOKUP(B8,'Composição dos serv'!A:I,4,FALSE)</f>
        <v>m</v>
      </c>
      <c r="E8" s="37"/>
      <c r="F8" s="37"/>
      <c r="G8" s="38">
        <f>SUMIF('Composição dos serv'!A:A,'PESM Itutinga Piloes pt1'!B8,'Composição dos serv'!I:I)</f>
        <v>0</v>
      </c>
      <c r="H8" s="38">
        <f t="shared" si="0"/>
        <v>0</v>
      </c>
      <c r="I8" s="24"/>
      <c r="J8" s="24"/>
      <c r="K8" s="39">
        <f>SUMIF('Composição dos serv'!A:A,B8,'Composição dos serv'!K:K)</f>
        <v>0.24</v>
      </c>
      <c r="L8" s="40">
        <f t="shared" si="1"/>
        <v>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6" ht="25.5" customHeight="1">
      <c r="A9" s="26" t="s">
        <v>279</v>
      </c>
      <c r="B9" s="26" t="s">
        <v>31</v>
      </c>
      <c r="C9" s="37" t="str">
        <f>VLOOKUP(B9,'Composição dos serv'!A:I,3,FALSE)</f>
        <v>Abertura de trilha</v>
      </c>
      <c r="D9" s="26" t="str">
        <f>VLOOKUP(B9,'Composição dos serv'!A:I,4,FALSE)</f>
        <v>m</v>
      </c>
      <c r="E9" s="41">
        <v>1600</v>
      </c>
      <c r="F9" s="37"/>
      <c r="G9" s="38">
        <f>SUMIF('Composição dos serv'!A:A,'PESM Itutinga Piloes pt1'!B9,'Composição dos serv'!I:I)</f>
        <v>0</v>
      </c>
      <c r="H9" s="38">
        <f t="shared" si="0"/>
        <v>0</v>
      </c>
      <c r="I9" s="24"/>
      <c r="J9" s="24"/>
      <c r="K9" s="39">
        <f>SUMIF('Composição dos serv'!A:A,B9,'Composição dos serv'!K:K)</f>
        <v>0.08</v>
      </c>
      <c r="L9" s="40">
        <f t="shared" si="1"/>
        <v>128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6" ht="25.5" hidden="1" customHeight="1">
      <c r="A10" s="26" t="s">
        <v>279</v>
      </c>
      <c r="B10" s="26" t="s">
        <v>37</v>
      </c>
      <c r="C10" s="37" t="str">
        <f>VLOOKUP(B10,'Composição dos serv'!A:I,3,FALSE)</f>
        <v>Manutenção de estradas de acesso as obras</v>
      </c>
      <c r="D10" s="26" t="str">
        <f>VLOOKUP(B10,'Composição dos serv'!A:I,4,FALSE)</f>
        <v>m</v>
      </c>
      <c r="E10" s="37"/>
      <c r="F10" s="37"/>
      <c r="G10" s="38">
        <f>SUMIF('Composição dos serv'!A:A,'PESM Itutinga Piloes pt1'!B10,'Composição dos serv'!I:I)</f>
        <v>0</v>
      </c>
      <c r="H10" s="38">
        <f t="shared" si="0"/>
        <v>0</v>
      </c>
      <c r="I10" s="24"/>
      <c r="J10" s="24"/>
      <c r="K10" s="39">
        <f>SUMIF('Composição dos serv'!A:A,B10,'Composição dos serv'!K:K)</f>
        <v>0.08</v>
      </c>
      <c r="L10" s="40">
        <f t="shared" si="1"/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6" ht="25.5" hidden="1" customHeight="1">
      <c r="A11" s="26" t="s">
        <v>279</v>
      </c>
      <c r="B11" s="26" t="s">
        <v>44</v>
      </c>
      <c r="C11" s="42" t="str">
        <f>VLOOKUP(B11,'Composição dos serv'!A:I,3,FALSE)</f>
        <v>Construção provisória de abrigo para funcionarios com sua desmobilização e instalação de banheiro químico</v>
      </c>
      <c r="D11" s="26" t="str">
        <f>VLOOKUP(B11,'Composição dos serv'!A:I,4,FALSE)</f>
        <v>unid</v>
      </c>
      <c r="E11" s="37"/>
      <c r="F11" s="37"/>
      <c r="G11" s="38">
        <f>SUMIF('Composição dos serv'!A:A,'PESM Itutinga Piloes pt1'!B11,'Composição dos serv'!I:I)</f>
        <v>0</v>
      </c>
      <c r="H11" s="38">
        <f t="shared" si="0"/>
        <v>0</v>
      </c>
      <c r="I11" s="24"/>
      <c r="J11" s="24"/>
      <c r="K11" s="39">
        <f>SUMIF('Composição dos serv'!A:A,B11,'Composição dos serv'!K:K)</f>
        <v>4.1000000000000005</v>
      </c>
      <c r="L11" s="40">
        <f t="shared" si="1"/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6" ht="25.5" hidden="1" customHeight="1">
      <c r="A12" s="26" t="s">
        <v>279</v>
      </c>
      <c r="B12" s="26" t="s">
        <v>53</v>
      </c>
      <c r="C12" s="42" t="str">
        <f>VLOOKUP(B12,'Composição dos serv'!A:I,3,FALSE)</f>
        <v>Transporte Aquaviário</v>
      </c>
      <c r="D12" s="26" t="str">
        <f>VLOOKUP(B12,'Composição dos serv'!A:I,4,FALSE)</f>
        <v>mês</v>
      </c>
      <c r="E12" s="37"/>
      <c r="F12" s="37"/>
      <c r="G12" s="38">
        <f>SUMIF('Composição dos serv'!A:A,'PESM Itutinga Piloes pt1'!B12,'Composição dos serv'!I:I)</f>
        <v>0</v>
      </c>
      <c r="H12" s="38">
        <f t="shared" si="0"/>
        <v>0</v>
      </c>
      <c r="I12" s="24"/>
      <c r="J12" s="24"/>
      <c r="K12" s="39">
        <f>SUMIF('Composição dos serv'!A:A,B12,'Composição dos serv'!K:K)</f>
        <v>20</v>
      </c>
      <c r="L12" s="40">
        <f t="shared" si="1"/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6" ht="25.5" hidden="1" customHeight="1">
      <c r="A13" s="26" t="s">
        <v>279</v>
      </c>
      <c r="B13" s="26" t="s">
        <v>58</v>
      </c>
      <c r="C13" s="42" t="str">
        <f>VLOOKUP(B13,'Composição dos serv'!A:I,3,FALSE)</f>
        <v>Projeto e implementação de controle ambiental da obra</v>
      </c>
      <c r="D13" s="26" t="str">
        <f>VLOOKUP(B13,'Composição dos serv'!A:I,4,FALSE)</f>
        <v>unid</v>
      </c>
      <c r="E13" s="37"/>
      <c r="F13" s="37"/>
      <c r="G13" s="38">
        <f>SUMIF('Composição dos serv'!A:A,'PESM Itutinga Piloes pt1'!B13,'Composição dos serv'!I:I)</f>
        <v>0</v>
      </c>
      <c r="H13" s="38">
        <f t="shared" si="0"/>
        <v>0</v>
      </c>
      <c r="I13" s="24"/>
      <c r="J13" s="24"/>
      <c r="K13" s="39">
        <f>SUMIF('Composição dos serv'!A:A,B13,'Composição dos serv'!K:K)</f>
        <v>2</v>
      </c>
      <c r="L13" s="40">
        <f t="shared" si="1"/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6" ht="25.5" hidden="1" customHeight="1">
      <c r="A14" s="26" t="s">
        <v>279</v>
      </c>
      <c r="B14" s="26" t="s">
        <v>61</v>
      </c>
      <c r="C14" s="42" t="str">
        <f>VLOOKUP(B14,'Composição dos serv'!A:I,3,FALSE)</f>
        <v>Projeto e implementação de gerenciamento de resíduos sólidos</v>
      </c>
      <c r="D14" s="26" t="str">
        <f>VLOOKUP(B14,'Composição dos serv'!A:I,4,FALSE)</f>
        <v>unid</v>
      </c>
      <c r="E14" s="37"/>
      <c r="F14" s="37"/>
      <c r="G14" s="38">
        <f>SUMIF('Composição dos serv'!A:A,'PESM Itutinga Piloes pt1'!B14,'Composição dos serv'!I:I)</f>
        <v>0</v>
      </c>
      <c r="H14" s="38">
        <f t="shared" si="0"/>
        <v>0</v>
      </c>
      <c r="I14" s="24"/>
      <c r="J14" s="24"/>
      <c r="K14" s="39">
        <f>SUMIF('Composição dos serv'!A:A,B14,'Composição dos serv'!K:K)</f>
        <v>1.8</v>
      </c>
      <c r="L14" s="40">
        <f t="shared" si="1"/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6" ht="7.5" hidden="1" customHeight="1">
      <c r="A15" s="26" t="s">
        <v>279</v>
      </c>
      <c r="B15" s="26" t="s">
        <v>65</v>
      </c>
      <c r="C15" s="42">
        <f>VLOOKUP(B15,'Composição dos serv'!A:I,3,FALSE)</f>
        <v>0</v>
      </c>
      <c r="D15" s="26">
        <f>VLOOKUP(B15,'Composição dos serv'!A:I,4,FALSE)</f>
        <v>0</v>
      </c>
      <c r="E15" s="37"/>
      <c r="F15" s="37"/>
      <c r="G15" s="38">
        <f>SUMIF('Composição dos serv'!A:A,'PESM Itutinga Piloes pt1'!B15,'Composição dos serv'!I:I)</f>
        <v>0</v>
      </c>
      <c r="H15" s="38">
        <f t="shared" si="0"/>
        <v>0</v>
      </c>
      <c r="I15" s="24"/>
      <c r="J15" s="24"/>
      <c r="K15" s="39">
        <f>SUMIF('Composição dos serv'!A:A,B15,'Composição dos serv'!K:K)</f>
        <v>0</v>
      </c>
      <c r="L15" s="40">
        <f t="shared" si="1"/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6" ht="23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39">
        <f>SUMIF('Composição dos serv'!A:A,'PESM Itutinga Piloes pt1'!B16,'Composição dos serv'!K:K)</f>
        <v>0</v>
      </c>
      <c r="L16" s="40">
        <f t="shared" si="1"/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" customHeight="1">
      <c r="A17" s="28" t="str">
        <f>A3</f>
        <v>E0</v>
      </c>
      <c r="B17" s="204" t="str">
        <f>C3</f>
        <v>IMPLANTAÇÃO GERAL</v>
      </c>
      <c r="C17" s="170"/>
      <c r="D17" s="204" t="s">
        <v>280</v>
      </c>
      <c r="E17" s="169"/>
      <c r="F17" s="170"/>
      <c r="G17" s="43">
        <f>SUM(H6:H15)</f>
        <v>0</v>
      </c>
      <c r="H17" s="29"/>
      <c r="I17" s="24"/>
      <c r="J17" s="24"/>
      <c r="K17" s="205">
        <f>IF(L12&lt;&gt;0,L12,SUM(L6:L11)+SUM(L13:L14))</f>
        <v>132</v>
      </c>
      <c r="L17" s="20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6" ht="12" customHeight="1">
      <c r="A18" s="24"/>
      <c r="B18" s="44"/>
      <c r="C18" s="24"/>
      <c r="D18" s="44"/>
      <c r="E18" s="24"/>
      <c r="F18" s="24"/>
      <c r="G18" s="45"/>
      <c r="H18" s="45"/>
      <c r="I18" s="24"/>
      <c r="J18" s="24"/>
      <c r="K18" s="31"/>
      <c r="L18" s="3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5.5" customHeight="1">
      <c r="A19" s="46" t="s">
        <v>281</v>
      </c>
      <c r="B19" s="46">
        <v>2</v>
      </c>
      <c r="C19" s="47" t="s">
        <v>282</v>
      </c>
      <c r="D19" s="47"/>
      <c r="E19" s="47"/>
      <c r="F19" s="47"/>
      <c r="G19" s="47"/>
      <c r="H19" s="47"/>
      <c r="I19" s="24"/>
      <c r="J19" s="24"/>
      <c r="K19" s="31"/>
      <c r="L19" s="32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6" ht="25.5" customHeight="1">
      <c r="A20" s="30"/>
      <c r="B20" s="30"/>
      <c r="C20" s="30"/>
      <c r="D20" s="30"/>
      <c r="E20" s="30"/>
      <c r="F20" s="30"/>
      <c r="G20" s="30"/>
      <c r="H20" s="30"/>
      <c r="I20" s="24"/>
      <c r="J20" s="24"/>
      <c r="K20" s="31"/>
      <c r="L20" s="32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25.5" customHeight="1">
      <c r="A21" s="26" t="s">
        <v>283</v>
      </c>
      <c r="B21" s="26" t="s">
        <v>67</v>
      </c>
      <c r="C21" s="48" t="str">
        <f>VLOOKUP(B21,'Composição dos serv'!A:I,3,FALSE)</f>
        <v>DEMOLIÇÃO DE CALÇADAS E/OU CAMINHOS</v>
      </c>
      <c r="D21" s="48"/>
      <c r="E21" s="48"/>
      <c r="F21" s="48"/>
      <c r="G21" s="48"/>
      <c r="H21" s="48"/>
      <c r="I21" s="24"/>
      <c r="J21" s="24"/>
      <c r="K21" s="31"/>
      <c r="L21" s="32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6">
      <c r="A22" s="26" t="str">
        <f>A21</f>
        <v>A01.1</v>
      </c>
      <c r="B22" s="26" t="s">
        <v>69</v>
      </c>
      <c r="C22" s="49" t="str">
        <f>VLOOKUP(B22,'Composição dos serv'!A:I,3,FALSE)</f>
        <v>Demolição de calçada ou caminhos</v>
      </c>
      <c r="D22" s="50" t="str">
        <f>VLOOKUP(B22,'Composição dos serv'!A:I,4,FALSE)</f>
        <v>m²</v>
      </c>
      <c r="E22" s="49">
        <v>20</v>
      </c>
      <c r="F22" s="49">
        <f>ROUNDUP(E22*0.15,2)</f>
        <v>3</v>
      </c>
      <c r="G22" s="38">
        <f>SUMIF('Composição dos serv'!A:A,B22,'Composição dos serv'!I:I)</f>
        <v>0</v>
      </c>
      <c r="H22" s="51">
        <f t="shared" ref="H22:H23" si="2">E22*G22</f>
        <v>0</v>
      </c>
      <c r="I22" s="24"/>
      <c r="J22" s="24"/>
      <c r="K22" s="39">
        <f>SUMIF('Composição dos serv'!A:A,B22,'Composição dos serv'!K:K)</f>
        <v>0.12</v>
      </c>
      <c r="L22" s="40">
        <f t="shared" ref="L22:L52" si="3">ROUNDUP(K22*E22,0)</f>
        <v>3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6" hidden="1">
      <c r="A23" s="26" t="str">
        <f>A21</f>
        <v>A01.1</v>
      </c>
      <c r="B23" s="26" t="s">
        <v>75</v>
      </c>
      <c r="C23" s="37" t="str">
        <f>VLOOKUP(B23,'Composição dos serv'!A:I,3,FALSE)</f>
        <v>Demolição de via Asfaltada, em paralelepípedo ou intertravados</v>
      </c>
      <c r="D23" s="26" t="str">
        <f>VLOOKUP(B23,'Composição dos serv'!A:I,4,FALSE)</f>
        <v>m²</v>
      </c>
      <c r="E23" s="37"/>
      <c r="F23" s="37">
        <f>ROUNDUP(E23*0.2,2)</f>
        <v>0</v>
      </c>
      <c r="G23" s="38">
        <f>SUMIF('Composição dos serv'!A:A,B23,'Composição dos serv'!I:I)</f>
        <v>0</v>
      </c>
      <c r="H23" s="38">
        <f t="shared" si="2"/>
        <v>0</v>
      </c>
      <c r="I23" s="24"/>
      <c r="J23" s="24"/>
      <c r="K23" s="39">
        <f>SUMIF('Composição dos serv'!A:A,B23,'Composição dos serv'!K:K)</f>
        <v>0.06</v>
      </c>
      <c r="L23" s="40">
        <f t="shared" si="3"/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6" ht="25.5" customHeight="1">
      <c r="A24" s="26" t="s">
        <v>284</v>
      </c>
      <c r="B24" s="26" t="s">
        <v>85</v>
      </c>
      <c r="C24" s="34" t="str">
        <f>VLOOKUP(B24,'Composição dos serv'!A:I,3,FALSE)</f>
        <v>DEMOLIÇÃO DE MUROS E CERCAS</v>
      </c>
      <c r="D24" s="35"/>
      <c r="E24" s="35"/>
      <c r="F24" s="35"/>
      <c r="G24" s="35"/>
      <c r="H24" s="36"/>
      <c r="I24" s="24"/>
      <c r="J24" s="24"/>
      <c r="K24" s="39">
        <f>SUMIF('Composição dos serv'!A:A,B24,'Composição dos serv'!K:K)</f>
        <v>0</v>
      </c>
      <c r="L24" s="40">
        <f t="shared" si="3"/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6" ht="25.5" hidden="1" customHeight="1">
      <c r="A25" s="26" t="str">
        <f>A24</f>
        <v>A01.2</v>
      </c>
      <c r="B25" s="26" t="s">
        <v>87</v>
      </c>
      <c r="C25" s="37" t="str">
        <f>VLOOKUP(B25,'Composição dos serv'!A:I,3,FALSE)</f>
        <v>Demolição de muro em alvenaria ou alambrados</v>
      </c>
      <c r="D25" s="26" t="str">
        <f>VLOOKUP(B25,'Composição dos serv'!A:I,4,FALSE)</f>
        <v>m</v>
      </c>
      <c r="E25" s="37"/>
      <c r="F25" s="37">
        <f>ROUNDUP(E25*0.2*2.4,2)</f>
        <v>0</v>
      </c>
      <c r="G25" s="38">
        <f>SUMIF('Composição dos serv'!A:A,B25,'Composição dos serv'!I:I)</f>
        <v>0</v>
      </c>
      <c r="H25" s="38">
        <f t="shared" ref="H25:H26" si="4">E25*G25</f>
        <v>0</v>
      </c>
      <c r="I25" s="24"/>
      <c r="J25" s="24"/>
      <c r="K25" s="39">
        <f>SUMIF('Composição dos serv'!A:A,B25,'Composição dos serv'!K:K)</f>
        <v>0.26</v>
      </c>
      <c r="L25" s="40">
        <f t="shared" si="3"/>
        <v>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6" ht="25.5" customHeight="1">
      <c r="A26" s="26" t="str">
        <f>A24</f>
        <v>A01.2</v>
      </c>
      <c r="B26" s="26" t="s">
        <v>93</v>
      </c>
      <c r="C26" s="37" t="str">
        <f>VLOOKUP(B26,'Composição dos serv'!A:I,3,FALSE)</f>
        <v>Demolição de Cercas</v>
      </c>
      <c r="D26" s="26" t="str">
        <f>VLOOKUP(B26,'Composição dos serv'!A:I,4,FALSE)</f>
        <v>m</v>
      </c>
      <c r="E26" s="37">
        <v>50</v>
      </c>
      <c r="F26" s="37">
        <f>ROUNDUP(E26*0.1*1.8,2)</f>
        <v>9</v>
      </c>
      <c r="G26" s="38">
        <f>SUMIF('Composição dos serv'!A:A,B26,'Composição dos serv'!I:I)</f>
        <v>0</v>
      </c>
      <c r="H26" s="38">
        <f t="shared" si="4"/>
        <v>0</v>
      </c>
      <c r="I26" s="24"/>
      <c r="J26" s="24"/>
      <c r="K26" s="39">
        <f>SUMIF('Composição dos serv'!A:A,B26,'Composição dos serv'!K:K)</f>
        <v>0.06</v>
      </c>
      <c r="L26" s="40">
        <f t="shared" si="3"/>
        <v>3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6" ht="25.5" customHeight="1">
      <c r="A27" s="26" t="s">
        <v>285</v>
      </c>
      <c r="B27" s="26" t="s">
        <v>99</v>
      </c>
      <c r="C27" s="48" t="str">
        <f>VLOOKUP(B27,'Composição dos serv'!A:I,3,FALSE)</f>
        <v>COBERTURA</v>
      </c>
      <c r="D27" s="48"/>
      <c r="E27" s="48"/>
      <c r="F27" s="48"/>
      <c r="G27" s="48"/>
      <c r="H27" s="48"/>
      <c r="I27" s="24"/>
      <c r="J27" s="24"/>
      <c r="K27" s="39">
        <f>SUMIF('Composição dos serv'!A:A,B27,'Composição dos serv'!K:K)</f>
        <v>0</v>
      </c>
      <c r="L27" s="40">
        <f t="shared" si="3"/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6" ht="25.5" hidden="1" customHeight="1">
      <c r="A28" s="26" t="str">
        <f>A27</f>
        <v>A01.3</v>
      </c>
      <c r="B28" s="26" t="s">
        <v>101</v>
      </c>
      <c r="C28" s="37" t="str">
        <f>VLOOKUP(B28,'Composição dos serv'!A:I,3,FALSE)</f>
        <v>Retirada de Estrutura de madeira sem telhas</v>
      </c>
      <c r="D28" s="26" t="str">
        <f>VLOOKUP(B28,'Composição dos serv'!A:I,4,FALSE)</f>
        <v>m²</v>
      </c>
      <c r="E28" s="37"/>
      <c r="F28" s="37">
        <f>ROUNDUP(E28*0.2,2)</f>
        <v>0</v>
      </c>
      <c r="G28" s="38">
        <f>SUMIF('Composição dos serv'!A:A,B28,'Composição dos serv'!I:I)</f>
        <v>0</v>
      </c>
      <c r="H28" s="38">
        <f t="shared" ref="H28:H33" si="5">E28*G28</f>
        <v>0</v>
      </c>
      <c r="I28" s="24"/>
      <c r="J28" s="24"/>
      <c r="K28" s="39">
        <f>SUMIF('Composição dos serv'!A:A,B28,'Composição dos serv'!K:K)</f>
        <v>0.03</v>
      </c>
      <c r="L28" s="40">
        <f t="shared" si="3"/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6" ht="25.5" customHeight="1">
      <c r="A29" s="26" t="str">
        <f>A27</f>
        <v>A01.3</v>
      </c>
      <c r="B29" s="26" t="s">
        <v>105</v>
      </c>
      <c r="C29" s="37" t="str">
        <f>VLOOKUP(B29,'Composição dos serv'!A:I,3,FALSE)</f>
        <v>Retirada de Telhas de Barro com Estrutura em madeira (tesouras, treliças,...)</v>
      </c>
      <c r="D29" s="26" t="str">
        <f>VLOOKUP(B29,'Composição dos serv'!A:I,4,FALSE)</f>
        <v>m²</v>
      </c>
      <c r="E29" s="49">
        <v>45</v>
      </c>
      <c r="F29" s="37">
        <f>ROUNDUP(E29*0.08+E29*0.2,2)</f>
        <v>12.6</v>
      </c>
      <c r="G29" s="38">
        <f>SUMIF('Composição dos serv'!A:A,B29,'Composição dos serv'!I:I)</f>
        <v>0</v>
      </c>
      <c r="H29" s="38">
        <f t="shared" si="5"/>
        <v>0</v>
      </c>
      <c r="I29" s="24"/>
      <c r="J29" s="24"/>
      <c r="K29" s="39">
        <f>SUMIF('Composição dos serv'!A:A,B29,'Composição dos serv'!K:K)</f>
        <v>0.06</v>
      </c>
      <c r="L29" s="40">
        <f t="shared" si="3"/>
        <v>3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6" ht="25.5" hidden="1" customHeight="1">
      <c r="A30" s="26" t="str">
        <f>A27</f>
        <v>A01.3</v>
      </c>
      <c r="B30" s="26" t="s">
        <v>111</v>
      </c>
      <c r="C30" s="37" t="str">
        <f>VLOOKUP(B30,'Composição dos serv'!A:I,3,FALSE)</f>
        <v>Retirada de Telhas de amianto Sem Estrutura</v>
      </c>
      <c r="D30" s="26" t="str">
        <f>VLOOKUP(B30,'Composição dos serv'!A:I,4,FALSE)</f>
        <v>m²</v>
      </c>
      <c r="E30" s="37"/>
      <c r="F30" s="37"/>
      <c r="G30" s="38">
        <f>SUMIF('Composição dos serv'!A:A,B30,'Composição dos serv'!I:I)</f>
        <v>0</v>
      </c>
      <c r="H30" s="38">
        <f t="shared" si="5"/>
        <v>0</v>
      </c>
      <c r="I30" s="24"/>
      <c r="J30" s="24"/>
      <c r="K30" s="39">
        <f>SUMIF('Composição dos serv'!A:A,B30,'Composição dos serv'!K:K)</f>
        <v>0.02</v>
      </c>
      <c r="L30" s="40">
        <f t="shared" si="3"/>
        <v>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6">
      <c r="A31" s="26" t="str">
        <f>A27</f>
        <v>A01.3</v>
      </c>
      <c r="B31" s="26" t="s">
        <v>117</v>
      </c>
      <c r="C31" s="37" t="str">
        <f>VLOOKUP(B31,'Composição dos serv'!A:I,3,FALSE)</f>
        <v>Retirada de Telhas de amianto com Estrutura em madeira (tesouras, treliças,...)</v>
      </c>
      <c r="D31" s="26" t="str">
        <f>VLOOKUP(B31,'Composição dos serv'!A:I,4,FALSE)</f>
        <v>m²</v>
      </c>
      <c r="E31" s="37">
        <v>15</v>
      </c>
      <c r="F31" s="37">
        <f>ROUNDUP(E31*0.1,2)</f>
        <v>1.5</v>
      </c>
      <c r="G31" s="38">
        <f>SUMIF('Composição dos serv'!A:A,B31,'Composição dos serv'!I:I)</f>
        <v>0</v>
      </c>
      <c r="H31" s="38">
        <f t="shared" si="5"/>
        <v>0</v>
      </c>
      <c r="I31" s="24"/>
      <c r="J31" s="24"/>
      <c r="K31" s="39">
        <f>SUMIF('Composição dos serv'!A:A,B31,'Composição dos serv'!K:K)</f>
        <v>0.04</v>
      </c>
      <c r="L31" s="40">
        <f t="shared" si="3"/>
        <v>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6" hidden="1">
      <c r="A32" s="26" t="str">
        <f>A27</f>
        <v>A01.3</v>
      </c>
      <c r="B32" s="26" t="s">
        <v>121</v>
      </c>
      <c r="C32" s="37" t="str">
        <f>VLOOKUP(B32,'Composição dos serv'!A:I,3,FALSE)</f>
        <v>Retirada de Laje em concreto</v>
      </c>
      <c r="D32" s="26" t="str">
        <f>VLOOKUP(B32,'Composição dos serv'!A:I,4,FALSE)</f>
        <v>m²</v>
      </c>
      <c r="E32" s="37"/>
      <c r="F32" s="37">
        <f>ROUNDUP(E32*0.12,2)</f>
        <v>0</v>
      </c>
      <c r="G32" s="38">
        <f>SUMIF('Composição dos serv'!A:A,B32,'Composição dos serv'!I:I)</f>
        <v>0</v>
      </c>
      <c r="H32" s="38">
        <f t="shared" si="5"/>
        <v>0</v>
      </c>
      <c r="I32" s="24"/>
      <c r="J32" s="24"/>
      <c r="K32" s="39">
        <f>SUMIF('Composição dos serv'!A:A,B32,'Composição dos serv'!K:K)</f>
        <v>0.09</v>
      </c>
      <c r="L32" s="40">
        <f t="shared" si="3"/>
        <v>0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22.5" customHeight="1">
      <c r="A33" s="26" t="str">
        <f>A27</f>
        <v>A01.3</v>
      </c>
      <c r="B33" s="26" t="s">
        <v>129</v>
      </c>
      <c r="C33" s="37" t="str">
        <f>VLOOKUP(B33,'Composição dos serv'!A:I,3,FALSE)</f>
        <v>Retirada de Forros qualquer com sistema de fixação</v>
      </c>
      <c r="D33" s="26" t="str">
        <f>VLOOKUP(B33,'Composição dos serv'!A:I,4,FALSE)</f>
        <v>m²</v>
      </c>
      <c r="E33" s="37">
        <v>39</v>
      </c>
      <c r="F33" s="37">
        <f>ROUNDUP(E33*0.1,2)</f>
        <v>3.9</v>
      </c>
      <c r="G33" s="38">
        <f>SUMIF('Composição dos serv'!A:A,B33,'Composição dos serv'!I:I)</f>
        <v>0</v>
      </c>
      <c r="H33" s="38">
        <f t="shared" si="5"/>
        <v>0</v>
      </c>
      <c r="I33" s="24"/>
      <c r="J33" s="24"/>
      <c r="K33" s="39">
        <f>SUMIF('Composição dos serv'!A:A,B33,'Composição dos serv'!K:K)</f>
        <v>0.04</v>
      </c>
      <c r="L33" s="40">
        <f t="shared" si="3"/>
        <v>2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25.5" customHeight="1">
      <c r="A34" s="26" t="s">
        <v>286</v>
      </c>
      <c r="B34" s="26" t="s">
        <v>133</v>
      </c>
      <c r="C34" s="34" t="str">
        <f>VLOOKUP(B34,'Composição dos serv'!A:I,3,FALSE)</f>
        <v>PAREDES</v>
      </c>
      <c r="D34" s="35"/>
      <c r="E34" s="35"/>
      <c r="F34" s="35"/>
      <c r="G34" s="35"/>
      <c r="H34" s="36"/>
      <c r="I34" s="24"/>
      <c r="J34" s="24"/>
      <c r="K34" s="39">
        <f>SUMIF('Composição dos serv'!A:A,B34,'Composição dos serv'!K:K)</f>
        <v>0</v>
      </c>
      <c r="L34" s="40">
        <f t="shared" si="3"/>
        <v>0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>
      <c r="A35" s="26" t="str">
        <f>A34</f>
        <v>A01.4</v>
      </c>
      <c r="B35" s="26" t="s">
        <v>135</v>
      </c>
      <c r="C35" s="37" t="str">
        <f>VLOOKUP(B35,'Composição dos serv'!A:I,3,FALSE)</f>
        <v>Parede em Alvenaria - usar área construida</v>
      </c>
      <c r="D35" s="26" t="str">
        <f>VLOOKUP(B35,'Composição dos serv'!A:I,4,FALSE)</f>
        <v>m²</v>
      </c>
      <c r="E35" s="49">
        <v>65</v>
      </c>
      <c r="F35" s="37">
        <f>ROUNDUP(E35*0.8,2)</f>
        <v>52</v>
      </c>
      <c r="G35" s="38">
        <f>SUMIF('Composição dos serv'!A:A,B35,'Composição dos serv'!I:I)</f>
        <v>0</v>
      </c>
      <c r="H35" s="38">
        <f t="shared" ref="H35:H37" si="6">E35*G35</f>
        <v>0</v>
      </c>
      <c r="I35" s="24"/>
      <c r="J35" s="24"/>
      <c r="K35" s="39">
        <f>SUMIF('Composição dos serv'!A:A,B35,'Composição dos serv'!K:K)</f>
        <v>0.15000000000000002</v>
      </c>
      <c r="L35" s="40">
        <f t="shared" si="3"/>
        <v>10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idden="1">
      <c r="A36" s="26" t="str">
        <f>A34</f>
        <v>A01.4</v>
      </c>
      <c r="B36" s="26" t="s">
        <v>143</v>
      </c>
      <c r="C36" s="37" t="str">
        <f>VLOOKUP(B36,'Composição dos serv'!A:I,3,FALSE)</f>
        <v>Parede em Madeirite - Chapas de madeira compensada ou aglomerada - área construída</v>
      </c>
      <c r="D36" s="26" t="str">
        <f>VLOOKUP(B36,'Composição dos serv'!A:I,4,FALSE)</f>
        <v>m²</v>
      </c>
      <c r="E36" s="37"/>
      <c r="F36" s="37">
        <f>ROUNDUP(E36*0.21,2)</f>
        <v>0</v>
      </c>
      <c r="G36" s="38">
        <f>SUMIF('Composição dos serv'!A:A,B36,'Composição dos serv'!I:I)</f>
        <v>0</v>
      </c>
      <c r="H36" s="38">
        <f t="shared" si="6"/>
        <v>0</v>
      </c>
      <c r="I36" s="24"/>
      <c r="J36" s="24"/>
      <c r="K36" s="39">
        <f>SUMIF('Composição dos serv'!A:A,B36,'Composição dos serv'!K:K)</f>
        <v>0.15000000000000002</v>
      </c>
      <c r="L36" s="40">
        <f t="shared" si="3"/>
        <v>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idden="1">
      <c r="A37" s="26" t="str">
        <f>A34</f>
        <v>A01.4</v>
      </c>
      <c r="B37" s="26" t="s">
        <v>145</v>
      </c>
      <c r="C37" s="37" t="str">
        <f>VLOOKUP(B37,'Composição dos serv'!A:I,3,FALSE)</f>
        <v>Parede em Lambril de madeira - área construída</v>
      </c>
      <c r="D37" s="26" t="str">
        <f>VLOOKUP(B37,'Composição dos serv'!A:I,4,FALSE)</f>
        <v>m²</v>
      </c>
      <c r="E37" s="37"/>
      <c r="F37" s="37">
        <f>ROUNDUP(E37*4*0.12,2)</f>
        <v>0</v>
      </c>
      <c r="G37" s="38">
        <f>SUMIF('Composição dos serv'!A:A,B37,'Composição dos serv'!I:I)</f>
        <v>0</v>
      </c>
      <c r="H37" s="38">
        <f t="shared" si="6"/>
        <v>0</v>
      </c>
      <c r="I37" s="24"/>
      <c r="J37" s="24"/>
      <c r="K37" s="39">
        <f>SUMIF('Composição dos serv'!A:A,B37,'Composição dos serv'!K:K)</f>
        <v>0.35000000000000009</v>
      </c>
      <c r="L37" s="40">
        <f t="shared" si="3"/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25.5" customHeight="1">
      <c r="A38" s="26" t="s">
        <v>287</v>
      </c>
      <c r="B38" s="26" t="s">
        <v>153</v>
      </c>
      <c r="C38" s="34" t="str">
        <f>VLOOKUP(B38,'Composição dos serv'!A:I,3,FALSE)</f>
        <v>PISO E FUNDAÇÃO</v>
      </c>
      <c r="D38" s="35"/>
      <c r="E38" s="35"/>
      <c r="F38" s="35"/>
      <c r="G38" s="35"/>
      <c r="H38" s="36"/>
      <c r="I38" s="24"/>
      <c r="J38" s="24"/>
      <c r="K38" s="39">
        <f>SUMIF('Composição dos serv'!A:A,B38,'Composição dos serv'!K:K)</f>
        <v>0</v>
      </c>
      <c r="L38" s="40">
        <f t="shared" si="3"/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idden="1">
      <c r="A39" s="26" t="str">
        <f>A38</f>
        <v>A01.5</v>
      </c>
      <c r="B39" s="26" t="s">
        <v>155</v>
      </c>
      <c r="C39" s="37" t="str">
        <f>VLOOKUP(B39,'Composição dos serv'!A:I,3,FALSE)</f>
        <v>Piso da edificação com fundação</v>
      </c>
      <c r="D39" s="26" t="str">
        <f>VLOOKUP(B39,'Composição dos serv'!A:I,4,FALSE)</f>
        <v>m²</v>
      </c>
      <c r="E39" s="37"/>
      <c r="F39" s="37">
        <f>ROUNDUP(E39*0.24,2)</f>
        <v>0</v>
      </c>
      <c r="G39" s="38">
        <f>SUMIF('Composição dos serv'!A:A,B39,'Composição dos serv'!I:I)</f>
        <v>0</v>
      </c>
      <c r="H39" s="38">
        <f>E39*G39</f>
        <v>0</v>
      </c>
      <c r="I39" s="24"/>
      <c r="J39" s="24"/>
      <c r="K39" s="39">
        <f>SUMIF('Composição dos serv'!A:A,B39,'Composição dos serv'!K:K)</f>
        <v>0.17</v>
      </c>
      <c r="L39" s="40">
        <f t="shared" si="3"/>
        <v>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>
      <c r="A40" s="26" t="s">
        <v>288</v>
      </c>
      <c r="B40" s="26" t="s">
        <v>161</v>
      </c>
      <c r="C40" s="48" t="str">
        <f>VLOOKUP(B40,'Composição dos serv'!A:I,3,FALSE)</f>
        <v>ESTRUTURAS DIVERSAS</v>
      </c>
      <c r="D40" s="48"/>
      <c r="E40" s="48"/>
      <c r="F40" s="48"/>
      <c r="G40" s="48"/>
      <c r="H40" s="48"/>
      <c r="I40" s="24"/>
      <c r="J40" s="24"/>
      <c r="K40" s="39">
        <f>SUMIF('Composição dos serv'!A:A,B40,'Composição dos serv'!K:K)</f>
        <v>0</v>
      </c>
      <c r="L40" s="40">
        <f t="shared" si="3"/>
        <v>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idden="1">
      <c r="A41" s="26" t="str">
        <f>A40</f>
        <v>A01.6</v>
      </c>
      <c r="B41" s="26" t="s">
        <v>163</v>
      </c>
      <c r="C41" s="37" t="str">
        <f>VLOOKUP(B41,'Composição dos serv'!A:I,3,FALSE)</f>
        <v>Escada em concreto com corrimão</v>
      </c>
      <c r="D41" s="26" t="str">
        <f>VLOOKUP(B41,'Composição dos serv'!A:I,4,FALSE)</f>
        <v>m</v>
      </c>
      <c r="E41" s="49"/>
      <c r="F41" s="37">
        <f>ROUNDUP(E41*1.2*0.25,2)</f>
        <v>0</v>
      </c>
      <c r="G41" s="38">
        <f>SUMIF('Composição dos serv'!A:A,B41,'Composição dos serv'!I:I)</f>
        <v>0</v>
      </c>
      <c r="H41" s="38">
        <f t="shared" ref="H41:H44" si="7">E41*G41</f>
        <v>0</v>
      </c>
      <c r="I41" s="24"/>
      <c r="J41" s="24"/>
      <c r="K41" s="39">
        <f>SUMIF('Composição dos serv'!A:A,B41,'Composição dos serv'!K:K)</f>
        <v>0.39</v>
      </c>
      <c r="L41" s="40">
        <f t="shared" si="3"/>
        <v>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idden="1">
      <c r="A42" s="26" t="str">
        <f>A40</f>
        <v>A01.6</v>
      </c>
      <c r="B42" s="26" t="s">
        <v>169</v>
      </c>
      <c r="C42" s="37" t="str">
        <f>VLOOKUP(B42,'Composição dos serv'!A:I,3,FALSE)</f>
        <v>Entrada de Energia - medidor</v>
      </c>
      <c r="D42" s="26" t="str">
        <f>VLOOKUP(B42,'Composição dos serv'!A:I,4,FALSE)</f>
        <v>un</v>
      </c>
      <c r="E42" s="37"/>
      <c r="F42" s="37">
        <f>ROUNDUP(E42*(0.63+1+(((3.1415*0.4^2)/4)*6)),2)</f>
        <v>0</v>
      </c>
      <c r="G42" s="38">
        <f>SUMIF('Composição dos serv'!A:A,B42,'Composição dos serv'!I:I)</f>
        <v>0</v>
      </c>
      <c r="H42" s="38">
        <f t="shared" si="7"/>
        <v>0</v>
      </c>
      <c r="I42" s="24"/>
      <c r="J42" s="24"/>
      <c r="K42" s="39">
        <f>SUMIF('Composição dos serv'!A:A,B42,'Composição dos serv'!K:K)</f>
        <v>1.7600000000000002</v>
      </c>
      <c r="L42" s="40">
        <f t="shared" si="3"/>
        <v>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25.5" customHeight="1">
      <c r="A43" s="26" t="str">
        <f>A40</f>
        <v>A01.6</v>
      </c>
      <c r="B43" s="26" t="s">
        <v>183</v>
      </c>
      <c r="C43" s="37" t="str">
        <f>VLOOKUP(B43,'Composição dos serv'!A:I,3,FALSE)</f>
        <v>Hidrômetro com abrigo</v>
      </c>
      <c r="D43" s="26" t="str">
        <f>VLOOKUP(B43,'Composição dos serv'!A:I,4,FALSE)</f>
        <v>un</v>
      </c>
      <c r="E43" s="37">
        <v>1</v>
      </c>
      <c r="F43" s="37">
        <f>ROUNDUP(E43*(1+0.34),2)</f>
        <v>1.34</v>
      </c>
      <c r="G43" s="38">
        <f>SUMIF('Composição dos serv'!A:A,B43,'Composição dos serv'!I:I)</f>
        <v>0</v>
      </c>
      <c r="H43" s="38">
        <f t="shared" si="7"/>
        <v>0</v>
      </c>
      <c r="I43" s="24"/>
      <c r="J43" s="24"/>
      <c r="K43" s="39">
        <f>SUMIF('Composição dos serv'!A:A,B43,'Composição dos serv'!K:K)</f>
        <v>0.44000000000000006</v>
      </c>
      <c r="L43" s="40">
        <f t="shared" si="3"/>
        <v>1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25.5" customHeight="1">
      <c r="A44" s="26" t="str">
        <f>A42</f>
        <v>A01.6</v>
      </c>
      <c r="B44" s="26" t="s">
        <v>191</v>
      </c>
      <c r="C44" s="37" t="str">
        <f>VLOOKUP(B44,'Composição dos serv'!A:I,3,FALSE)</f>
        <v>Aterro de Fossa com retirada de tampa</v>
      </c>
      <c r="D44" s="26" t="str">
        <f>VLOOKUP(B44,'Composição dos serv'!A:I,4,FALSE)</f>
        <v>un</v>
      </c>
      <c r="E44" s="37">
        <v>1</v>
      </c>
      <c r="F44" s="37">
        <f>ROUNDUP(E44*(0.4),2)</f>
        <v>0.4</v>
      </c>
      <c r="G44" s="38">
        <f>SUMIF('Composição dos serv'!A:A,B44,'Composição dos serv'!I:I)</f>
        <v>0</v>
      </c>
      <c r="H44" s="38">
        <f t="shared" si="7"/>
        <v>0</v>
      </c>
      <c r="I44" s="24"/>
      <c r="J44" s="24"/>
      <c r="K44" s="39">
        <f>SUMIF('Composição dos serv'!A:A,B44,'Composição dos serv'!K:K)</f>
        <v>0.85000000000000009</v>
      </c>
      <c r="L44" s="40">
        <f t="shared" si="3"/>
        <v>1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25.5" customHeight="1">
      <c r="A45" s="26" t="s">
        <v>289</v>
      </c>
      <c r="B45" s="26" t="s">
        <v>195</v>
      </c>
      <c r="C45" s="48" t="str">
        <f>VLOOKUP(B45,'Composição dos serv'!A:I,3,FALSE)</f>
        <v>ACABAMENTOS DIVERSOS e OUTROS</v>
      </c>
      <c r="D45" s="48"/>
      <c r="E45" s="48"/>
      <c r="F45" s="48"/>
      <c r="G45" s="48"/>
      <c r="H45" s="48"/>
      <c r="I45" s="24"/>
      <c r="J45" s="24"/>
      <c r="K45" s="39">
        <f>SUMIF('Composição dos serv'!A:A,B45,'Composição dos serv'!K:K)</f>
        <v>0</v>
      </c>
      <c r="L45" s="40">
        <f t="shared" si="3"/>
        <v>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25.5" customHeight="1">
      <c r="A46" s="26" t="str">
        <f>A45</f>
        <v>A01.7</v>
      </c>
      <c r="B46" s="50" t="s">
        <v>197</v>
      </c>
      <c r="C46" s="49" t="str">
        <f>VLOOKUP(B46,'Composição dos serv'!A:I,3,FALSE)</f>
        <v>Remoção de aparelhos sanitarios - por banheiro</v>
      </c>
      <c r="D46" s="50" t="str">
        <f>VLOOKUP(B46,'Composição dos serv'!A:I,4,FALSE)</f>
        <v>unid</v>
      </c>
      <c r="E46" s="49">
        <v>2</v>
      </c>
      <c r="F46" s="37">
        <f t="shared" ref="F46:F48" si="8">ROUNDUP(E46*1,2)</f>
        <v>2</v>
      </c>
      <c r="G46" s="38">
        <f>SUMIF('Composição dos serv'!A:A,B46,'Composição dos serv'!I:I)</f>
        <v>0</v>
      </c>
      <c r="H46" s="51">
        <f t="shared" ref="H46:H52" si="9">E46*G46</f>
        <v>0</v>
      </c>
      <c r="I46" s="24"/>
      <c r="J46" s="24"/>
      <c r="K46" s="39">
        <f>SUMIF('Composição dos serv'!A:A,B46,'Composição dos serv'!K:K)</f>
        <v>0.19</v>
      </c>
      <c r="L46" s="40">
        <f t="shared" si="3"/>
        <v>1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25.5" customHeight="1">
      <c r="A47" s="26" t="str">
        <f>A45</f>
        <v>A01.7</v>
      </c>
      <c r="B47" s="50" t="s">
        <v>209</v>
      </c>
      <c r="C47" s="37" t="str">
        <f>VLOOKUP(B47,'Composição dos serv'!A:I,3,FALSE)</f>
        <v>Remoção de aparelhos sanitarios - Cozinha e Área de Serviço</v>
      </c>
      <c r="D47" s="26" t="str">
        <f>VLOOKUP(B47,'Composição dos serv'!A:I,4,FALSE)</f>
        <v>unid</v>
      </c>
      <c r="E47" s="37">
        <v>2</v>
      </c>
      <c r="F47" s="37">
        <f t="shared" si="8"/>
        <v>2</v>
      </c>
      <c r="G47" s="38">
        <f>SUMIF('Composição dos serv'!A:A,B47,'Composição dos serv'!I:I)</f>
        <v>0</v>
      </c>
      <c r="H47" s="38">
        <f t="shared" si="9"/>
        <v>0</v>
      </c>
      <c r="I47" s="24"/>
      <c r="J47" s="24"/>
      <c r="K47" s="39">
        <f>SUMIF('Composição dos serv'!A:A,B47,'Composição dos serv'!K:K)</f>
        <v>0.21</v>
      </c>
      <c r="L47" s="40">
        <f t="shared" si="3"/>
        <v>1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25.5" customHeight="1">
      <c r="A48" s="26" t="str">
        <f t="shared" ref="A48:A52" si="10">A$45</f>
        <v>A01.7</v>
      </c>
      <c r="B48" s="50" t="s">
        <v>215</v>
      </c>
      <c r="C48" s="37" t="str">
        <f>VLOOKUP(B48,'Composição dos serv'!A:I,3,FALSE)</f>
        <v>Remoção de caixa d'agua</v>
      </c>
      <c r="D48" s="26" t="str">
        <f>VLOOKUP(B48,'Composição dos serv'!A:I,4,FALSE)</f>
        <v>unid</v>
      </c>
      <c r="E48" s="37">
        <v>1</v>
      </c>
      <c r="F48" s="37">
        <f t="shared" si="8"/>
        <v>1</v>
      </c>
      <c r="G48" s="38">
        <f>SUMIF('Composição dos serv'!A:A,B48,'Composição dos serv'!I:I)</f>
        <v>0</v>
      </c>
      <c r="H48" s="38">
        <f t="shared" si="9"/>
        <v>0</v>
      </c>
      <c r="I48" s="24"/>
      <c r="J48" s="24"/>
      <c r="K48" s="39">
        <f>SUMIF('Composição dos serv'!A:A,B48,'Composição dos serv'!K:K)</f>
        <v>0.42000000000000004</v>
      </c>
      <c r="L48" s="40">
        <f t="shared" si="3"/>
        <v>1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6" ht="25.5" hidden="1" customHeight="1">
      <c r="A49" s="26" t="str">
        <f t="shared" si="10"/>
        <v>A01.7</v>
      </c>
      <c r="B49" s="50" t="s">
        <v>219</v>
      </c>
      <c r="C49" s="37" t="str">
        <f>VLOOKUP(B49,'Composição dos serv'!A:I,3,FALSE)</f>
        <v>Remoção do Sistema de Para raios - área do telhado</v>
      </c>
      <c r="D49" s="26" t="str">
        <f>VLOOKUP(B49,'Composição dos serv'!A:I,4,FALSE)</f>
        <v>m²</v>
      </c>
      <c r="E49" s="37"/>
      <c r="F49" s="37">
        <f>ROUNDUP(E49/60,2)</f>
        <v>0</v>
      </c>
      <c r="G49" s="38">
        <f>SUMIF('Composição dos serv'!A:A,B49,'Composição dos serv'!I:I)</f>
        <v>0</v>
      </c>
      <c r="H49" s="38">
        <f t="shared" si="9"/>
        <v>0</v>
      </c>
      <c r="I49" s="24"/>
      <c r="J49" s="24"/>
      <c r="K49" s="39">
        <f>SUMIF('Composição dos serv'!A:A,B49,'Composição dos serv'!K:K)</f>
        <v>0.05</v>
      </c>
      <c r="L49" s="40">
        <f t="shared" si="3"/>
        <v>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6" ht="25.5" customHeight="1">
      <c r="A50" s="26" t="str">
        <f t="shared" si="10"/>
        <v>A01.7</v>
      </c>
      <c r="B50" s="50" t="s">
        <v>227</v>
      </c>
      <c r="C50" s="37" t="str">
        <f>VLOOKUP(B50,'Composição dos serv'!A:I,3,FALSE)</f>
        <v>Janelas</v>
      </c>
      <c r="D50" s="26" t="str">
        <f>VLOOKUP(B50,'Composição dos serv'!A:I,4,FALSE)</f>
        <v>un</v>
      </c>
      <c r="E50" s="37">
        <v>5</v>
      </c>
      <c r="F50" s="37">
        <f>ROUNDUP(E50*1.5*1.2*0.2,2)</f>
        <v>1.8</v>
      </c>
      <c r="G50" s="38">
        <f>SUMIF('Composição dos serv'!A:A,B50,'Composição dos serv'!I:I)</f>
        <v>0</v>
      </c>
      <c r="H50" s="38">
        <f t="shared" si="9"/>
        <v>0</v>
      </c>
      <c r="I50" s="24"/>
      <c r="J50" s="24"/>
      <c r="K50" s="39">
        <f>SUMIF('Composição dos serv'!A:A,B50,'Composição dos serv'!K:K)</f>
        <v>0</v>
      </c>
      <c r="L50" s="40">
        <f t="shared" si="3"/>
        <v>0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6" ht="25.5" customHeight="1">
      <c r="A51" s="26" t="str">
        <f t="shared" si="10"/>
        <v>A01.7</v>
      </c>
      <c r="B51" s="50" t="s">
        <v>234</v>
      </c>
      <c r="C51" s="37" t="str">
        <f>VLOOKUP(B51,'Composição dos serv'!A:I,3,FALSE)</f>
        <v>Portas</v>
      </c>
      <c r="D51" s="26" t="str">
        <f>VLOOKUP(B51,'Composição dos serv'!A:I,4,FALSE)</f>
        <v>un</v>
      </c>
      <c r="E51" s="37">
        <v>4</v>
      </c>
      <c r="F51" s="37">
        <f>ROUNDUP(E51*2.1*0.9*0.2,2)</f>
        <v>1.52</v>
      </c>
      <c r="G51" s="38">
        <f>SUMIF('Composição dos serv'!A:A,B51,'Composição dos serv'!I:I)</f>
        <v>0</v>
      </c>
      <c r="H51" s="38">
        <f t="shared" si="9"/>
        <v>0</v>
      </c>
      <c r="I51" s="24"/>
      <c r="J51" s="24"/>
      <c r="K51" s="39">
        <f>SUMIF('Composição dos serv'!A:A,B51,'Composição dos serv'!K:K)</f>
        <v>0</v>
      </c>
      <c r="L51" s="40">
        <f t="shared" si="3"/>
        <v>0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6" ht="25.5" hidden="1" customHeight="1">
      <c r="A52" s="26" t="str">
        <f t="shared" si="10"/>
        <v>A01.7</v>
      </c>
      <c r="B52" s="50" t="s">
        <v>236</v>
      </c>
      <c r="C52" s="37" t="str">
        <f>VLOOKUP(B52,'Composição dos serv'!A:I,3,FALSE)</f>
        <v>Guarda corpo de metal</v>
      </c>
      <c r="D52" s="26" t="str">
        <f>VLOOKUP(B52,'Composição dos serv'!A:I,4,FALSE)</f>
        <v>m</v>
      </c>
      <c r="E52" s="37"/>
      <c r="F52" s="37">
        <f>ROUNDUP(E52*1.7*0.05,2)</f>
        <v>0</v>
      </c>
      <c r="G52" s="38">
        <f>SUMIF('Composição dos serv'!A:A,B52,'Composição dos serv'!I:I)</f>
        <v>0</v>
      </c>
      <c r="H52" s="38">
        <f t="shared" si="9"/>
        <v>0</v>
      </c>
      <c r="I52" s="24"/>
      <c r="J52" s="24"/>
      <c r="K52" s="39">
        <f>SUMIF('Composição dos serv'!A:A,B52,'Composição dos serv'!K:K)</f>
        <v>0</v>
      </c>
      <c r="L52" s="40">
        <f t="shared" si="3"/>
        <v>0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6" ht="25.5" customHeight="1">
      <c r="A53" s="26" t="s">
        <v>290</v>
      </c>
      <c r="B53" s="26" t="s">
        <v>240</v>
      </c>
      <c r="C53" s="48" t="str">
        <f>VLOOKUP(B53,'Composição dos serv'!A:I,3,FALSE)</f>
        <v>ENTULHO</v>
      </c>
      <c r="D53" s="48"/>
      <c r="E53" s="48"/>
      <c r="F53" s="48"/>
      <c r="G53" s="48"/>
      <c r="H53" s="48"/>
      <c r="I53" s="24"/>
      <c r="J53" s="24"/>
      <c r="K53" s="39">
        <f>SUMIF('Composição dos serv'!A:A,B53,'Composição dos serv'!K:K)</f>
        <v>0</v>
      </c>
      <c r="L53" s="40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6" ht="25.5" hidden="1" customHeight="1">
      <c r="A54" s="26" t="str">
        <f t="shared" ref="A54:A58" si="11">A$53</f>
        <v>A01.8</v>
      </c>
      <c r="B54" s="50" t="s">
        <v>242</v>
      </c>
      <c r="C54" s="49" t="str">
        <f>VLOOKUP(B54,'Composição dos serv'!A:I,3,FALSE)</f>
        <v>Transporte e espalhamento Manual do entulho a ser reutilizado</v>
      </c>
      <c r="D54" s="50" t="s">
        <v>291</v>
      </c>
      <c r="E54" s="49"/>
      <c r="F54" s="52">
        <f>IF(E54=1,ROUNDUP((IF(E22&lt;&gt;"",F22,0)+IF(E23&lt;&gt;"",F23,0)+IF(E25&lt;&gt;"",F25,0)+IF(E26&lt;&gt;"",F26*0.34,0)+IF(E29&lt;&gt;"",F29*0.43,0)+IF(E32&lt;&gt;"",F32*0.8,0)+IF(E35&lt;&gt;"",F35*(0.78),0)+IF(E39&lt;&gt;"",F39*0.98,0)+IF(E41&lt;&gt;"",F41*0.91,0)+IF(E42&lt;&gt;"",F42*0.26,0)+IF(E43&lt;&gt;"",F43*0.24,0)+IF(E44&lt;&gt;"",F44,0)),2),0)</f>
        <v>0</v>
      </c>
      <c r="G54" s="51">
        <f>SUMIF('Composição dos serv'!A:A,B54,'Composição dos serv'!I:I)</f>
        <v>0</v>
      </c>
      <c r="H54" s="51">
        <f t="shared" ref="H54:H55" si="12">F54*G54</f>
        <v>0</v>
      </c>
      <c r="I54" s="24"/>
      <c r="J54" s="24"/>
      <c r="K54" s="39">
        <f>SUMIF('Composição dos serv'!A:A,B54,'Composição dos serv'!K:K)</f>
        <v>0.15000000000000002</v>
      </c>
      <c r="L54" s="40">
        <f t="shared" ref="L54:L57" si="13">ROUNDUP(K54*F54,0)</f>
        <v>0</v>
      </c>
      <c r="M54" s="45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6" ht="25.5" hidden="1" customHeight="1">
      <c r="A55" s="26" t="str">
        <f t="shared" si="11"/>
        <v>A01.8</v>
      </c>
      <c r="B55" s="50" t="s">
        <v>246</v>
      </c>
      <c r="C55" s="49" t="str">
        <f>VLOOKUP(B55,'Composição dos serv'!A:I,3,FALSE)</f>
        <v>Remoção e Transporte Mecanizado do entulho a ser reutilizado</v>
      </c>
      <c r="D55" s="50" t="s">
        <v>291</v>
      </c>
      <c r="E55" s="49"/>
      <c r="F55" s="52">
        <f>IF(E55=1,SUM(F22:F52)-H59,0)</f>
        <v>0</v>
      </c>
      <c r="G55" s="51">
        <f>SUMIF('Composição dos serv'!A:A,B55,'Composição dos serv'!I:I)</f>
        <v>0</v>
      </c>
      <c r="H55" s="51">
        <f t="shared" si="12"/>
        <v>0</v>
      </c>
      <c r="I55" s="24"/>
      <c r="J55" s="24"/>
      <c r="K55" s="39">
        <f>SUMIF('Composição dos serv'!A:A,B55,'Composição dos serv'!K:K)</f>
        <v>0.02</v>
      </c>
      <c r="L55" s="40">
        <f t="shared" si="13"/>
        <v>0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6" ht="25.5" customHeight="1">
      <c r="A56" s="26" t="str">
        <f t="shared" si="11"/>
        <v>A01.8</v>
      </c>
      <c r="B56" s="50" t="s">
        <v>252</v>
      </c>
      <c r="C56" s="49" t="str">
        <f>VLOOKUP(B56,'Composição dos serv'!A:I,3,FALSE)</f>
        <v>Remoção do entulho com caçamba</v>
      </c>
      <c r="D56" s="50" t="s">
        <v>291</v>
      </c>
      <c r="E56" s="49">
        <v>1</v>
      </c>
      <c r="F56" s="52">
        <f>IF(E56=1,SUM(F22:F52),0)</f>
        <v>92.06</v>
      </c>
      <c r="G56" s="51">
        <f>SUMIF('Composição dos serv'!A:A,B56,'Composição dos serv'!I:I)</f>
        <v>0</v>
      </c>
      <c r="H56" s="51">
        <f>IF(E56&gt;1,"OPÇÃO ERRADA",F56*G56)+IF(G59=1,H59*G56,0)</f>
        <v>0</v>
      </c>
      <c r="I56" s="24"/>
      <c r="J56" s="24"/>
      <c r="K56" s="39">
        <f>SUMIF('Composição dos serv'!A:A,B56,'Composição dos serv'!K:K)</f>
        <v>0.02</v>
      </c>
      <c r="L56" s="40">
        <f t="shared" si="13"/>
        <v>2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6" ht="25.5" hidden="1" customHeight="1">
      <c r="A57" s="26" t="str">
        <f t="shared" si="11"/>
        <v>A01.8</v>
      </c>
      <c r="B57" s="50" t="s">
        <v>256</v>
      </c>
      <c r="C57" s="49" t="str">
        <f>VLOOKUP(B57,'Composição dos serv'!A:I,3,FALSE)</f>
        <v>Remoção e Transporte Mecanizado do entulho para bota fora</v>
      </c>
      <c r="D57" s="50" t="s">
        <v>291</v>
      </c>
      <c r="E57" s="49"/>
      <c r="F57" s="52">
        <f>IF(E57=1,SUM(F22:F52),0)</f>
        <v>0</v>
      </c>
      <c r="G57" s="51">
        <f>SUMIF('Composição dos serv'!A:A,B57,'Composição dos serv'!I:I)</f>
        <v>0</v>
      </c>
      <c r="H57" s="51">
        <f>IF(E57&gt;1,"OPÇÃO ERRADA",F57*G57)+IF(G59=2,H59*G57,0)</f>
        <v>0</v>
      </c>
      <c r="I57" s="24"/>
      <c r="J57" s="24"/>
      <c r="K57" s="39">
        <f>SUMIF('Composição dos serv'!A:A,B57,'Composição dos serv'!K:K)</f>
        <v>7.9999999999999988E-2</v>
      </c>
      <c r="L57" s="40">
        <f t="shared" si="13"/>
        <v>0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6" ht="25.5" customHeight="1">
      <c r="A58" s="26" t="str">
        <f t="shared" si="11"/>
        <v>A01.8</v>
      </c>
      <c r="B58" s="50" t="s">
        <v>264</v>
      </c>
      <c r="C58" s="49" t="str">
        <f>VLOOKUP(B58,'Composição dos serv'!A:I,3,FALSE)</f>
        <v>Remoção de telhas em cimento amianto</v>
      </c>
      <c r="D58" s="26" t="str">
        <f>VLOOKUP(B58,'Composição dos serv'!A:I,4,FALSE)</f>
        <v>m²</v>
      </c>
      <c r="E58" s="49">
        <f>SUM(E30:E31)</f>
        <v>15</v>
      </c>
      <c r="F58" s="52"/>
      <c r="G58" s="51">
        <f>SUMIF('Composição dos serv'!A:A,B58,'Composição dos serv'!I:I)</f>
        <v>0</v>
      </c>
      <c r="H58" s="51">
        <f>G58*E58</f>
        <v>0</v>
      </c>
      <c r="I58" s="24"/>
      <c r="J58" s="24"/>
      <c r="K58" s="39"/>
      <c r="L58" s="40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6" ht="25.5" customHeight="1">
      <c r="A59" s="53"/>
      <c r="B59" s="53"/>
      <c r="C59" s="37" t="str">
        <f>IF(E56&lt;&gt;1,IF(E57&lt;&gt;1,IF(H59&lt;&gt;0,"Há Material não reutilizavel qual a destinação para ele?",""),""),"")</f>
        <v/>
      </c>
      <c r="D59" s="168" t="str">
        <f>IF(E56&lt;&gt;1,IF(E57&lt;&gt;1,IF(H59&lt;&gt;0,"Caçamba = 1; Aterro = 2",""),""),"")</f>
        <v/>
      </c>
      <c r="E59" s="169"/>
      <c r="F59" s="170"/>
      <c r="G59" s="37">
        <v>1</v>
      </c>
      <c r="H59" s="54">
        <f>IF(E56=1,0,IF(E57=1,0,ROUNDUP((IF(E26&lt;&gt;"",F26*0.66,0)+IF(E29&lt;&gt;"",F29*0.57,0)+IF(E31&lt;&gt;"",F31,0)+IF(E32&lt;&gt;"",F32*0.2,0)+IF(E33&lt;&gt;"",F33,0)+IF(E35&lt;&gt;"",F35*0.22,0)+IF(E36&lt;&gt;"",F36,0)+IF(E37&lt;&gt;"",F37,0)+IF(E39&lt;&gt;"",F39*0.02,0)+IF(E41&lt;&gt;"",F41*0.09,0)+IF(E42&lt;&gt;"",F42*0.74,0)+IF(E43&lt;&gt;"",F43*(1-0.24),0)+IF(E46&lt;&gt;"",F46,0)+IF(E47&lt;&gt;"",F47,0)+IF(E48&lt;&gt;"",F48,0)+IF(E49&lt;&gt;"",F49,0)+IF(E50&lt;&gt;"",F50,0)+IF(E51&lt;&gt;"",F51,0)+IF(E52&lt;&gt;"",F52,0)+IF(E30&lt;&gt;"",F30,0)+IF(E28&lt;&gt;"",F28,0)),2)))</f>
        <v>0</v>
      </c>
      <c r="I59" s="24"/>
      <c r="J59" s="24"/>
      <c r="K59" s="39"/>
      <c r="L59" s="40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6" ht="25.5" hidden="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39">
        <f>SUMIF('Composição dos serv'!A:A,'PESM Itutinga Piloes pt1'!B60,'Composição dos serv'!K:K)</f>
        <v>0</v>
      </c>
      <c r="L60" s="40">
        <f>ROUNDUP(K60*E60,0)</f>
        <v>0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25.5" customHeight="1">
      <c r="A61" s="46" t="str">
        <f>A19</f>
        <v>A01</v>
      </c>
      <c r="B61" s="183" t="str">
        <f>C19</f>
        <v>EDIFICAÇÃO 1 - Gleba A01</v>
      </c>
      <c r="C61" s="169"/>
      <c r="D61" s="184" t="s">
        <v>280</v>
      </c>
      <c r="E61" s="169"/>
      <c r="F61" s="169"/>
      <c r="G61" s="55">
        <f>SUM(H22:H58)</f>
        <v>0</v>
      </c>
      <c r="H61" s="56"/>
      <c r="I61" s="24"/>
      <c r="J61" s="24"/>
      <c r="K61" s="39">
        <f>IF(SUM(L54:L57)&gt;SUM(L22:L52),SUM(L54:L57),SUM(L22:L52))</f>
        <v>27</v>
      </c>
      <c r="L61" s="40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6" ht="23.25" customHeight="1">
      <c r="A62" s="30"/>
      <c r="B62" s="44"/>
      <c r="C62" s="24"/>
      <c r="D62" s="44"/>
      <c r="E62" s="24"/>
      <c r="F62" s="24"/>
      <c r="G62" s="45"/>
      <c r="H62" s="45"/>
      <c r="I62" s="24"/>
      <c r="J62" s="24"/>
      <c r="K62" s="39">
        <f>SUMIF('Composição dos serv'!A:A,'PESM Itutinga Piloes pt1'!B62,'Composição dos serv'!K:K)</f>
        <v>0</v>
      </c>
      <c r="L62" s="40">
        <f t="shared" ref="L62:L64" si="14">ROUNDUP(K62*E62,0)</f>
        <v>0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25.5" customHeight="1">
      <c r="A63" s="57" t="s">
        <v>292</v>
      </c>
      <c r="B63" s="57">
        <v>2</v>
      </c>
      <c r="C63" s="58" t="s">
        <v>293</v>
      </c>
      <c r="D63" s="58"/>
      <c r="E63" s="58"/>
      <c r="F63" s="58"/>
      <c r="G63" s="58"/>
      <c r="H63" s="58"/>
      <c r="I63" s="24"/>
      <c r="J63" s="24"/>
      <c r="K63" s="39">
        <f>SUMIF('Composição dos serv'!A:A,'PESM Itutinga Piloes pt1'!B63,'Composição dos serv'!K:K)</f>
        <v>0</v>
      </c>
      <c r="L63" s="40">
        <f t="shared" si="14"/>
        <v>0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6" ht="25.5" hidden="1" customHeight="1">
      <c r="A64" s="59"/>
      <c r="B64" s="30"/>
      <c r="C64" s="30"/>
      <c r="D64" s="30"/>
      <c r="E64" s="30"/>
      <c r="F64" s="30"/>
      <c r="G64" s="30"/>
      <c r="H64" s="30"/>
      <c r="I64" s="24"/>
      <c r="J64" s="24"/>
      <c r="K64" s="39">
        <f>SUMIF('Composição dos serv'!A:A,'PESM Itutinga Piloes pt1'!B64,'Composição dos serv'!K:K)</f>
        <v>0</v>
      </c>
      <c r="L64" s="40">
        <f t="shared" si="14"/>
        <v>0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3" ht="25.5" customHeight="1">
      <c r="A65" s="33" t="str">
        <f>CONCATENATE(A63,".1")</f>
        <v>A02.1</v>
      </c>
      <c r="B65" s="33" t="s">
        <v>67</v>
      </c>
      <c r="C65" s="48" t="str">
        <f>VLOOKUP(B65,'Composição dos serv'!A:I,3,FALSE)</f>
        <v>DEMOLIÇÃO DE CALÇADAS E/OU CAMINHOS</v>
      </c>
      <c r="D65" s="48"/>
      <c r="E65" s="48"/>
      <c r="F65" s="48"/>
      <c r="G65" s="48"/>
      <c r="H65" s="48"/>
      <c r="I65" s="24"/>
      <c r="J65" s="24"/>
      <c r="K65" s="31"/>
      <c r="L65" s="32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>
      <c r="A66" s="26" t="str">
        <f>A65</f>
        <v>A02.1</v>
      </c>
      <c r="B66" s="26" t="s">
        <v>69</v>
      </c>
      <c r="C66" s="49" t="str">
        <f>VLOOKUP(B66,'Composição dos serv'!A:I,3,FALSE)</f>
        <v>Demolição de calçada ou caminhos</v>
      </c>
      <c r="D66" s="50" t="str">
        <f>VLOOKUP(B66,'Composição dos serv'!A:I,4,FALSE)</f>
        <v>m²</v>
      </c>
      <c r="E66" s="49">
        <v>20</v>
      </c>
      <c r="F66" s="49">
        <f>ROUNDUP(E66*0.15,2)</f>
        <v>3</v>
      </c>
      <c r="G66" s="51">
        <f>SUMIF('Composição dos serv'!A:A,'PESM Itutinga Piloes pt1'!B66,'Composição dos serv'!I:I)</f>
        <v>0</v>
      </c>
      <c r="H66" s="51">
        <f t="shared" ref="H66:H67" si="15">E66*G66</f>
        <v>0</v>
      </c>
      <c r="I66" s="24"/>
      <c r="J66" s="24"/>
      <c r="K66" s="39">
        <f>SUMIF('Composição dos serv'!A:A,B66,'Composição dos serv'!K:K)</f>
        <v>0.12</v>
      </c>
      <c r="L66" s="40">
        <f t="shared" ref="L66:L96" si="16">ROUNDUP(K66*E66,0)</f>
        <v>3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idden="1">
      <c r="A67" s="26" t="str">
        <f>A65</f>
        <v>A02.1</v>
      </c>
      <c r="B67" s="26" t="s">
        <v>75</v>
      </c>
      <c r="C67" s="37" t="str">
        <f>VLOOKUP(B67,'Composição dos serv'!A:I,3,FALSE)</f>
        <v>Demolição de via Asfaltada, em paralelepípedo ou intertravados</v>
      </c>
      <c r="D67" s="26" t="str">
        <f>VLOOKUP(B67,'Composição dos serv'!A:I,4,FALSE)</f>
        <v>m²</v>
      </c>
      <c r="E67" s="37"/>
      <c r="F67" s="37">
        <f>ROUNDUP(E67*0.2,2)</f>
        <v>0</v>
      </c>
      <c r="G67" s="38">
        <f>SUMIF('Composição dos serv'!A:A,'PESM Itutinga Piloes pt1'!B67,'Composição dos serv'!I:I)</f>
        <v>0</v>
      </c>
      <c r="H67" s="38">
        <f t="shared" si="15"/>
        <v>0</v>
      </c>
      <c r="I67" s="24"/>
      <c r="J67" s="24"/>
      <c r="K67" s="39">
        <f>SUMIF('Composição dos serv'!A:A,B67,'Composição dos serv'!K:K)</f>
        <v>0.06</v>
      </c>
      <c r="L67" s="40">
        <f t="shared" si="16"/>
        <v>0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25.5" customHeight="1">
      <c r="A68" s="33" t="str">
        <f>CONCATENATE(A63,".2")</f>
        <v>A02.2</v>
      </c>
      <c r="B68" s="33" t="s">
        <v>85</v>
      </c>
      <c r="C68" s="34" t="str">
        <f>VLOOKUP(B68,'Composição dos serv'!A:I,3,FALSE)</f>
        <v>DEMOLIÇÃO DE MUROS E CERCAS</v>
      </c>
      <c r="D68" s="35"/>
      <c r="E68" s="35"/>
      <c r="F68" s="35"/>
      <c r="G68" s="35"/>
      <c r="H68" s="36"/>
      <c r="I68" s="24"/>
      <c r="J68" s="24"/>
      <c r="K68" s="39">
        <f>SUMIF('Composição dos serv'!A:A,B68,'Composição dos serv'!K:K)</f>
        <v>0</v>
      </c>
      <c r="L68" s="40">
        <f t="shared" si="16"/>
        <v>0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25.5" hidden="1" customHeight="1">
      <c r="A69" s="26" t="str">
        <f>A68</f>
        <v>A02.2</v>
      </c>
      <c r="B69" s="26" t="s">
        <v>87</v>
      </c>
      <c r="C69" s="37" t="str">
        <f>VLOOKUP(B69,'Composição dos serv'!A:I,3,FALSE)</f>
        <v>Demolição de muro em alvenaria ou alambrados</v>
      </c>
      <c r="D69" s="26" t="str">
        <f>VLOOKUP(B69,'Composição dos serv'!A:I,4,FALSE)</f>
        <v>m</v>
      </c>
      <c r="E69" s="37"/>
      <c r="F69" s="37">
        <f>ROUNDUP(E69*0.2*2.4,2)</f>
        <v>0</v>
      </c>
      <c r="G69" s="38">
        <f>SUMIF('Composição dos serv'!A:A,'PESM Itutinga Piloes pt1'!B69,'Composição dos serv'!I:I)</f>
        <v>0</v>
      </c>
      <c r="H69" s="38">
        <f t="shared" ref="H69:H70" si="17">E69*G69</f>
        <v>0</v>
      </c>
      <c r="I69" s="24"/>
      <c r="J69" s="24"/>
      <c r="K69" s="39">
        <f>SUMIF('Composição dos serv'!A:A,B69,'Composição dos serv'!K:K)</f>
        <v>0.26</v>
      </c>
      <c r="L69" s="40">
        <f t="shared" si="16"/>
        <v>0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25.5" hidden="1" customHeight="1">
      <c r="A70" s="26" t="str">
        <f>A68</f>
        <v>A02.2</v>
      </c>
      <c r="B70" s="26" t="s">
        <v>93</v>
      </c>
      <c r="C70" s="37" t="str">
        <f>VLOOKUP(B70,'Composição dos serv'!A:I,3,FALSE)</f>
        <v>Demolição de Cercas</v>
      </c>
      <c r="D70" s="26" t="str">
        <f>VLOOKUP(B70,'Composição dos serv'!A:I,4,FALSE)</f>
        <v>m</v>
      </c>
      <c r="E70" s="37"/>
      <c r="F70" s="37">
        <f>ROUNDUP(E70*0.1*1.8,2)</f>
        <v>0</v>
      </c>
      <c r="G70" s="38">
        <f>SUMIF('Composição dos serv'!A:A,'PESM Itutinga Piloes pt1'!B70,'Composição dos serv'!I:I)</f>
        <v>0</v>
      </c>
      <c r="H70" s="38">
        <f t="shared" si="17"/>
        <v>0</v>
      </c>
      <c r="I70" s="24"/>
      <c r="J70" s="24"/>
      <c r="K70" s="39">
        <f>SUMIF('Composição dos serv'!A:A,B70,'Composição dos serv'!K:K)</f>
        <v>0.06</v>
      </c>
      <c r="L70" s="40">
        <f t="shared" si="16"/>
        <v>0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25.5" customHeight="1">
      <c r="A71" s="33" t="str">
        <f>CONCATENATE(A63,".3")</f>
        <v>A02.3</v>
      </c>
      <c r="B71" s="33" t="s">
        <v>99</v>
      </c>
      <c r="C71" s="48" t="str">
        <f>VLOOKUP(B71,'Composição dos serv'!A:I,3,FALSE)</f>
        <v>COBERTURA</v>
      </c>
      <c r="D71" s="48"/>
      <c r="E71" s="48"/>
      <c r="F71" s="48"/>
      <c r="G71" s="48"/>
      <c r="H71" s="48"/>
      <c r="I71" s="24"/>
      <c r="J71" s="24"/>
      <c r="K71" s="39">
        <f>SUMIF('Composição dos serv'!A:A,B71,'Composição dos serv'!K:K)</f>
        <v>0</v>
      </c>
      <c r="L71" s="40">
        <f t="shared" si="16"/>
        <v>0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25.5" hidden="1" customHeight="1">
      <c r="A72" s="26" t="str">
        <f t="shared" ref="A72:A77" si="18">A71</f>
        <v>A02.3</v>
      </c>
      <c r="B72" s="26" t="s">
        <v>101</v>
      </c>
      <c r="C72" s="37" t="str">
        <f>VLOOKUP(B72,'Composição dos serv'!A:I,3,FALSE)</f>
        <v>Retirada de Estrutura de madeira sem telhas</v>
      </c>
      <c r="D72" s="26" t="str">
        <f>VLOOKUP(B72,'Composição dos serv'!A:I,4,FALSE)</f>
        <v>m²</v>
      </c>
      <c r="E72" s="37"/>
      <c r="F72" s="37">
        <f>ROUNDUP(E72*0.2,2)</f>
        <v>0</v>
      </c>
      <c r="G72" s="38">
        <f>SUMIF('Composição dos serv'!A:A,'PESM Itutinga Piloes pt1'!B72,'Composição dos serv'!I:I)</f>
        <v>0</v>
      </c>
      <c r="H72" s="38">
        <f t="shared" ref="H72:H77" si="19">E72*G72</f>
        <v>0</v>
      </c>
      <c r="I72" s="24"/>
      <c r="J72" s="24"/>
      <c r="K72" s="39">
        <f>SUMIF('Composição dos serv'!A:A,B72,'Composição dos serv'!K:K)</f>
        <v>0.03</v>
      </c>
      <c r="L72" s="40">
        <f t="shared" si="16"/>
        <v>0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25.5" customHeight="1">
      <c r="A73" s="26" t="str">
        <f t="shared" si="18"/>
        <v>A02.3</v>
      </c>
      <c r="B73" s="26" t="s">
        <v>105</v>
      </c>
      <c r="C73" s="37" t="str">
        <f>VLOOKUP(B73,'Composição dos serv'!A:I,3,FALSE)</f>
        <v>Retirada de Telhas de Barro com Estrutura em madeira (tesouras, treliças,...)</v>
      </c>
      <c r="D73" s="26" t="str">
        <f>VLOOKUP(B73,'Composição dos serv'!A:I,4,FALSE)</f>
        <v>m²</v>
      </c>
      <c r="E73" s="37">
        <v>150</v>
      </c>
      <c r="F73" s="37">
        <f>ROUNDUP(E73*0.08+E73*0.2,2)</f>
        <v>42</v>
      </c>
      <c r="G73" s="38">
        <f>SUMIF('Composição dos serv'!A:A,'PESM Itutinga Piloes pt1'!B73,'Composição dos serv'!I:I)</f>
        <v>0</v>
      </c>
      <c r="H73" s="38">
        <f t="shared" si="19"/>
        <v>0</v>
      </c>
      <c r="I73" s="24"/>
      <c r="J73" s="24"/>
      <c r="K73" s="39">
        <f>SUMIF('Composição dos serv'!A:A,B73,'Composição dos serv'!K:K)</f>
        <v>0.06</v>
      </c>
      <c r="L73" s="40">
        <f t="shared" si="16"/>
        <v>9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25.5" hidden="1" customHeight="1">
      <c r="A74" s="26" t="str">
        <f t="shared" si="18"/>
        <v>A02.3</v>
      </c>
      <c r="B74" s="26" t="s">
        <v>111</v>
      </c>
      <c r="C74" s="37" t="str">
        <f>VLOOKUP(B74,'Composição dos serv'!A:I,3,FALSE)</f>
        <v>Retirada de Telhas de amianto Sem Estrutura</v>
      </c>
      <c r="D74" s="26" t="str">
        <f>VLOOKUP(B74,'Composição dos serv'!A:I,4,FALSE)</f>
        <v>m²</v>
      </c>
      <c r="E74" s="37"/>
      <c r="F74" s="37"/>
      <c r="G74" s="38">
        <f>SUMIF('Composição dos serv'!A:A,'PESM Itutinga Piloes pt1'!B74,'Composição dos serv'!I:I)</f>
        <v>0</v>
      </c>
      <c r="H74" s="38">
        <f t="shared" si="19"/>
        <v>0</v>
      </c>
      <c r="I74" s="24"/>
      <c r="J74" s="24"/>
      <c r="K74" s="39">
        <f>SUMIF('Composição dos serv'!A:A,B74,'Composição dos serv'!K:K)</f>
        <v>0.02</v>
      </c>
      <c r="L74" s="40">
        <f t="shared" si="16"/>
        <v>0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25.5" hidden="1" customHeight="1">
      <c r="A75" s="26" t="str">
        <f t="shared" si="18"/>
        <v>A02.3</v>
      </c>
      <c r="B75" s="26" t="s">
        <v>117</v>
      </c>
      <c r="C75" s="37" t="str">
        <f>VLOOKUP(B75,'Composição dos serv'!A:I,3,FALSE)</f>
        <v>Retirada de Telhas de amianto com Estrutura em madeira (tesouras, treliças,...)</v>
      </c>
      <c r="D75" s="26" t="str">
        <f>VLOOKUP(B75,'Composição dos serv'!A:I,4,FALSE)</f>
        <v>m²</v>
      </c>
      <c r="E75" s="37"/>
      <c r="F75" s="37">
        <f>ROUNDUP(E75*0.1,2)</f>
        <v>0</v>
      </c>
      <c r="G75" s="38">
        <f>SUMIF('Composição dos serv'!A:A,'PESM Itutinga Piloes pt1'!B75,'Composição dos serv'!I:I)</f>
        <v>0</v>
      </c>
      <c r="H75" s="38">
        <f t="shared" si="19"/>
        <v>0</v>
      </c>
      <c r="I75" s="24"/>
      <c r="J75" s="24"/>
      <c r="K75" s="39">
        <f>SUMIF('Composição dos serv'!A:A,B75,'Composição dos serv'!K:K)</f>
        <v>0.04</v>
      </c>
      <c r="L75" s="40">
        <f t="shared" si="16"/>
        <v>0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25.5" customHeight="1">
      <c r="A76" s="26" t="str">
        <f t="shared" si="18"/>
        <v>A02.3</v>
      </c>
      <c r="B76" s="26" t="s">
        <v>121</v>
      </c>
      <c r="C76" s="37" t="str">
        <f>VLOOKUP(B76,'Composição dos serv'!A:I,3,FALSE)</f>
        <v>Retirada de Laje em concreto</v>
      </c>
      <c r="D76" s="26" t="str">
        <f>VLOOKUP(B76,'Composição dos serv'!A:I,4,FALSE)</f>
        <v>m²</v>
      </c>
      <c r="E76" s="37">
        <v>45</v>
      </c>
      <c r="F76" s="37">
        <f>ROUNDUP(E76*0.12,2)</f>
        <v>5.4</v>
      </c>
      <c r="G76" s="38">
        <f>SUMIF('Composição dos serv'!A:A,'PESM Itutinga Piloes pt1'!B76,'Composição dos serv'!I:I)</f>
        <v>0</v>
      </c>
      <c r="H76" s="38">
        <f t="shared" si="19"/>
        <v>0</v>
      </c>
      <c r="I76" s="24"/>
      <c r="J76" s="24"/>
      <c r="K76" s="39">
        <f>SUMIF('Composição dos serv'!A:A,B76,'Composição dos serv'!K:K)</f>
        <v>0.09</v>
      </c>
      <c r="L76" s="40">
        <f t="shared" si="16"/>
        <v>5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25.5" customHeight="1">
      <c r="A77" s="26" t="str">
        <f t="shared" si="18"/>
        <v>A02.3</v>
      </c>
      <c r="B77" s="26" t="s">
        <v>129</v>
      </c>
      <c r="C77" s="37" t="str">
        <f>VLOOKUP(B77,'Composição dos serv'!A:I,3,FALSE)</f>
        <v>Retirada de Forros qualquer com sistema de fixação</v>
      </c>
      <c r="D77" s="26" t="str">
        <f>VLOOKUP(B77,'Composição dos serv'!A:I,4,FALSE)</f>
        <v>m²</v>
      </c>
      <c r="E77" s="37">
        <v>90</v>
      </c>
      <c r="F77" s="37">
        <f>ROUNDUP(E77*0.1,2)</f>
        <v>9</v>
      </c>
      <c r="G77" s="38">
        <f>SUMIF('Composição dos serv'!A:A,'PESM Itutinga Piloes pt1'!B77,'Composição dos serv'!I:I)</f>
        <v>0</v>
      </c>
      <c r="H77" s="38">
        <f t="shared" si="19"/>
        <v>0</v>
      </c>
      <c r="I77" s="24"/>
      <c r="J77" s="24"/>
      <c r="K77" s="39">
        <f>SUMIF('Composição dos serv'!A:A,B77,'Composição dos serv'!K:K)</f>
        <v>0.04</v>
      </c>
      <c r="L77" s="40">
        <f t="shared" si="16"/>
        <v>4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25.5" customHeight="1">
      <c r="A78" s="33" t="str">
        <f>CONCATENATE(A63,".4")</f>
        <v>A02.4</v>
      </c>
      <c r="B78" s="33" t="s">
        <v>133</v>
      </c>
      <c r="C78" s="34" t="str">
        <f>VLOOKUP(B78,'Composição dos serv'!A:I,3,FALSE)</f>
        <v>PAREDES</v>
      </c>
      <c r="D78" s="35"/>
      <c r="E78" s="35"/>
      <c r="F78" s="35"/>
      <c r="G78" s="35"/>
      <c r="H78" s="36"/>
      <c r="I78" s="24"/>
      <c r="J78" s="24"/>
      <c r="K78" s="39">
        <f>SUMIF('Composição dos serv'!A:A,B78,'Composição dos serv'!K:K)</f>
        <v>0</v>
      </c>
      <c r="L78" s="40">
        <f t="shared" si="16"/>
        <v>0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25.5" customHeight="1">
      <c r="A79" s="26" t="str">
        <f>A78</f>
        <v>A02.4</v>
      </c>
      <c r="B79" s="26" t="s">
        <v>135</v>
      </c>
      <c r="C79" s="37" t="str">
        <f>VLOOKUP(B79,'Composição dos serv'!A:I,3,FALSE)</f>
        <v>Parede em Alvenaria - usar área construida</v>
      </c>
      <c r="D79" s="26" t="str">
        <f>VLOOKUP(B79,'Composição dos serv'!A:I,4,FALSE)</f>
        <v>m²</v>
      </c>
      <c r="E79" s="49">
        <v>150</v>
      </c>
      <c r="F79" s="37">
        <f>ROUNDUP(E79*0.8,2)</f>
        <v>120</v>
      </c>
      <c r="G79" s="38">
        <f>SUMIF('Composição dos serv'!A:A,B79,'Composição dos serv'!I:I)</f>
        <v>0</v>
      </c>
      <c r="H79" s="38">
        <f t="shared" ref="H79:H81" si="20">E79*G79</f>
        <v>0</v>
      </c>
      <c r="I79" s="24"/>
      <c r="J79" s="24"/>
      <c r="K79" s="39">
        <f>SUMIF('Composição dos serv'!A:A,B79,'Composição dos serv'!K:K)</f>
        <v>0.15000000000000002</v>
      </c>
      <c r="L79" s="40">
        <f t="shared" si="16"/>
        <v>23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25.5" hidden="1" customHeight="1">
      <c r="A80" s="26" t="str">
        <f>A78</f>
        <v>A02.4</v>
      </c>
      <c r="B80" s="26" t="s">
        <v>143</v>
      </c>
      <c r="C80" s="37" t="str">
        <f>VLOOKUP(B80,'Composição dos serv'!A:I,3,FALSE)</f>
        <v>Parede em Madeirite - Chapas de madeira compensada ou aglomerada - área construída</v>
      </c>
      <c r="D80" s="26" t="str">
        <f>VLOOKUP(B80,'Composição dos serv'!A:I,4,FALSE)</f>
        <v>m²</v>
      </c>
      <c r="E80" s="37"/>
      <c r="F80" s="37">
        <f>ROUNDUP(E80*0.21,2)</f>
        <v>0</v>
      </c>
      <c r="G80" s="38">
        <f>SUMIF('Composição dos serv'!A:A,B80,'Composição dos serv'!I:I)</f>
        <v>0</v>
      </c>
      <c r="H80" s="38">
        <f t="shared" si="20"/>
        <v>0</v>
      </c>
      <c r="I80" s="24"/>
      <c r="J80" s="24"/>
      <c r="K80" s="39">
        <f>SUMIF('Composição dos serv'!A:A,B80,'Composição dos serv'!K:K)</f>
        <v>0.15000000000000002</v>
      </c>
      <c r="L80" s="40">
        <f t="shared" si="16"/>
        <v>0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25.5" hidden="1" customHeight="1">
      <c r="A81" s="26" t="str">
        <f>A78</f>
        <v>A02.4</v>
      </c>
      <c r="B81" s="26" t="s">
        <v>145</v>
      </c>
      <c r="C81" s="37" t="str">
        <f>VLOOKUP(B81,'Composição dos serv'!A:I,3,FALSE)</f>
        <v>Parede em Lambril de madeira - área construída</v>
      </c>
      <c r="D81" s="26" t="str">
        <f>VLOOKUP(B81,'Composição dos serv'!A:I,4,FALSE)</f>
        <v>m²</v>
      </c>
      <c r="E81" s="37"/>
      <c r="F81" s="37">
        <f>ROUNDUP(E81*4*0.12,2)</f>
        <v>0</v>
      </c>
      <c r="G81" s="38">
        <f>SUMIF('Composição dos serv'!A:A,B81,'Composição dos serv'!I:I)</f>
        <v>0</v>
      </c>
      <c r="H81" s="38">
        <f t="shared" si="20"/>
        <v>0</v>
      </c>
      <c r="I81" s="24"/>
      <c r="J81" s="24"/>
      <c r="K81" s="39">
        <f>SUMIF('Composição dos serv'!A:A,B81,'Composição dos serv'!K:K)</f>
        <v>0.35000000000000009</v>
      </c>
      <c r="L81" s="40">
        <f t="shared" si="16"/>
        <v>0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25.5" customHeight="1">
      <c r="A82" s="33" t="str">
        <f>CONCATENATE(A63,".5")</f>
        <v>A02.5</v>
      </c>
      <c r="B82" s="33" t="s">
        <v>153</v>
      </c>
      <c r="C82" s="34" t="str">
        <f>VLOOKUP(B82,'Composição dos serv'!A:I,3,FALSE)</f>
        <v>PISO E FUNDAÇÃO</v>
      </c>
      <c r="D82" s="35"/>
      <c r="E82" s="35"/>
      <c r="F82" s="35"/>
      <c r="G82" s="35"/>
      <c r="H82" s="36"/>
      <c r="I82" s="24"/>
      <c r="J82" s="24"/>
      <c r="K82" s="39">
        <f>SUMIF('Composição dos serv'!A:A,B82,'Composição dos serv'!K:K)</f>
        <v>0</v>
      </c>
      <c r="L82" s="40">
        <f t="shared" si="16"/>
        <v>0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25.5" hidden="1" customHeight="1">
      <c r="A83" s="26" t="str">
        <f>A82</f>
        <v>A02.5</v>
      </c>
      <c r="B83" s="26" t="s">
        <v>155</v>
      </c>
      <c r="C83" s="37" t="str">
        <f>VLOOKUP(B83,'Composição dos serv'!A:I,3,FALSE)</f>
        <v>Piso da edificação com fundação</v>
      </c>
      <c r="D83" s="26" t="str">
        <f>VLOOKUP(B83,'Composição dos serv'!A:I,4,FALSE)</f>
        <v>m²</v>
      </c>
      <c r="E83" s="37"/>
      <c r="F83" s="37">
        <f>ROUNDUP(E83*0.24,2)</f>
        <v>0</v>
      </c>
      <c r="G83" s="38">
        <f>SUMIF('Composição dos serv'!A:A,B83,'Composição dos serv'!I:I)</f>
        <v>0</v>
      </c>
      <c r="H83" s="38">
        <f>E83*G83</f>
        <v>0</v>
      </c>
      <c r="I83" s="24"/>
      <c r="J83" s="24"/>
      <c r="K83" s="39">
        <f>SUMIF('Composição dos serv'!A:A,B83,'Composição dos serv'!K:K)</f>
        <v>0.17</v>
      </c>
      <c r="L83" s="40">
        <f t="shared" si="16"/>
        <v>0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25.5" customHeight="1">
      <c r="A84" s="33" t="str">
        <f>CONCATENATE(A63,".6")</f>
        <v>A02.6</v>
      </c>
      <c r="B84" s="33" t="s">
        <v>161</v>
      </c>
      <c r="C84" s="48" t="str">
        <f>VLOOKUP(B84,'Composição dos serv'!A:I,3,FALSE)</f>
        <v>ESTRUTURAS DIVERSAS</v>
      </c>
      <c r="D84" s="48"/>
      <c r="E84" s="48"/>
      <c r="F84" s="48"/>
      <c r="G84" s="48"/>
      <c r="H84" s="48"/>
      <c r="I84" s="24"/>
      <c r="J84" s="24"/>
      <c r="K84" s="39">
        <f>SUMIF('Composição dos serv'!A:A,B84,'Composição dos serv'!K:K)</f>
        <v>0</v>
      </c>
      <c r="L84" s="40">
        <f t="shared" si="16"/>
        <v>0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ht="25.5" hidden="1" customHeight="1">
      <c r="A85" s="26" t="str">
        <f>A84</f>
        <v>A02.6</v>
      </c>
      <c r="B85" s="26" t="s">
        <v>163</v>
      </c>
      <c r="C85" s="37" t="str">
        <f>VLOOKUP(B85,'Composição dos serv'!A:I,3,FALSE)</f>
        <v>Escada em concreto com corrimão</v>
      </c>
      <c r="D85" s="26" t="str">
        <f>VLOOKUP(B85,'Composição dos serv'!A:I,4,FALSE)</f>
        <v>m</v>
      </c>
      <c r="E85" s="49"/>
      <c r="F85" s="37">
        <f>ROUNDUP(E85*1.2*0.25,2)</f>
        <v>0</v>
      </c>
      <c r="G85" s="38">
        <f>SUMIF('Composição dos serv'!A:A,'PESM Itutinga Piloes pt1'!B85,'Composição dos serv'!I:I)</f>
        <v>0</v>
      </c>
      <c r="H85" s="38">
        <f t="shared" ref="H85:H88" si="21">E85*G85</f>
        <v>0</v>
      </c>
      <c r="I85" s="24"/>
      <c r="J85" s="24"/>
      <c r="K85" s="39">
        <f>SUMIF('Composição dos serv'!A:A,B85,'Composição dos serv'!K:K)</f>
        <v>0.39</v>
      </c>
      <c r="L85" s="40">
        <f t="shared" si="16"/>
        <v>0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25.5" hidden="1" customHeight="1">
      <c r="A86" s="26" t="str">
        <f>A84</f>
        <v>A02.6</v>
      </c>
      <c r="B86" s="26" t="s">
        <v>169</v>
      </c>
      <c r="C86" s="37" t="str">
        <f>VLOOKUP(B86,'Composição dos serv'!A:I,3,FALSE)</f>
        <v>Entrada de Energia - medidor</v>
      </c>
      <c r="D86" s="26" t="str">
        <f>VLOOKUP(B86,'Composição dos serv'!A:I,4,FALSE)</f>
        <v>un</v>
      </c>
      <c r="E86" s="37"/>
      <c r="F86" s="37">
        <f>ROUNDUP(E86*(3.2+(((3.1415*0.4^2)/4)*6)),2)</f>
        <v>0</v>
      </c>
      <c r="G86" s="38">
        <f>SUMIF('Composição dos serv'!A:A,'PESM Itutinga Piloes pt1'!B86,'Composição dos serv'!I:I)</f>
        <v>0</v>
      </c>
      <c r="H86" s="38">
        <f t="shared" si="21"/>
        <v>0</v>
      </c>
      <c r="I86" s="24"/>
      <c r="J86" s="24"/>
      <c r="K86" s="39">
        <f>SUMIF('Composição dos serv'!A:A,B86,'Composição dos serv'!K:K)</f>
        <v>1.7600000000000002</v>
      </c>
      <c r="L86" s="40">
        <f t="shared" si="16"/>
        <v>0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25.5" hidden="1" customHeight="1">
      <c r="A87" s="26" t="str">
        <f>A84</f>
        <v>A02.6</v>
      </c>
      <c r="B87" s="26" t="s">
        <v>183</v>
      </c>
      <c r="C87" s="37" t="str">
        <f>VLOOKUP(B87,'Composição dos serv'!A:I,3,FALSE)</f>
        <v>Hidrômetro com abrigo</v>
      </c>
      <c r="D87" s="26" t="str">
        <f>VLOOKUP(B87,'Composição dos serv'!A:I,4,FALSE)</f>
        <v>un</v>
      </c>
      <c r="E87" s="37"/>
      <c r="F87" s="37">
        <f>ROUNDUP(E87*(1.7+0.1),2)</f>
        <v>0</v>
      </c>
      <c r="G87" s="38">
        <f>SUMIF('Composição dos serv'!A:A,'PESM Itutinga Piloes pt1'!B87,'Composição dos serv'!I:I)</f>
        <v>0</v>
      </c>
      <c r="H87" s="38">
        <f t="shared" si="21"/>
        <v>0</v>
      </c>
      <c r="I87" s="24"/>
      <c r="J87" s="24"/>
      <c r="K87" s="39">
        <f>SUMIF('Composição dos serv'!A:A,B87,'Composição dos serv'!K:K)</f>
        <v>0.44000000000000006</v>
      </c>
      <c r="L87" s="40">
        <f t="shared" si="16"/>
        <v>0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25.5" hidden="1" customHeight="1">
      <c r="A88" s="26" t="str">
        <f>A86</f>
        <v>A02.6</v>
      </c>
      <c r="B88" s="26" t="s">
        <v>191</v>
      </c>
      <c r="C88" s="37" t="str">
        <f>VLOOKUP(B88,'Composição dos serv'!A:I,3,FALSE)</f>
        <v>Aterro de Fossa com retirada de tampa</v>
      </c>
      <c r="D88" s="26" t="str">
        <f>VLOOKUP(B88,'Composição dos serv'!A:I,4,FALSE)</f>
        <v>un</v>
      </c>
      <c r="E88" s="37"/>
      <c r="F88" s="37">
        <f>ROUNDUP(E88*(0.4),2)</f>
        <v>0</v>
      </c>
      <c r="G88" s="38">
        <f>SUMIF('Composição dos serv'!A:A,'PESM Itutinga Piloes pt1'!B88,'Composição dos serv'!I:I)</f>
        <v>0</v>
      </c>
      <c r="H88" s="38">
        <f t="shared" si="21"/>
        <v>0</v>
      </c>
      <c r="I88" s="24"/>
      <c r="J88" s="24"/>
      <c r="K88" s="39">
        <f>SUMIF('Composição dos serv'!A:A,B88,'Composição dos serv'!K:K)</f>
        <v>0.85000000000000009</v>
      </c>
      <c r="L88" s="40">
        <f t="shared" si="16"/>
        <v>0</v>
      </c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25.5" customHeight="1">
      <c r="A89" s="33" t="str">
        <f>CONCATENATE(A63,".7")</f>
        <v>A02.7</v>
      </c>
      <c r="B89" s="33" t="s">
        <v>195</v>
      </c>
      <c r="C89" s="48" t="str">
        <f>VLOOKUP(B89,'Composição dos serv'!A:I,3,FALSE)</f>
        <v>ACABAMENTOS DIVERSOS e OUTROS</v>
      </c>
      <c r="D89" s="48"/>
      <c r="E89" s="48"/>
      <c r="F89" s="48"/>
      <c r="G89" s="48"/>
      <c r="H89" s="48"/>
      <c r="I89" s="24"/>
      <c r="J89" s="24"/>
      <c r="K89" s="39">
        <f>SUMIF('Composição dos serv'!A:A,B89,'Composição dos serv'!K:K)</f>
        <v>0</v>
      </c>
      <c r="L89" s="40">
        <f t="shared" si="16"/>
        <v>0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25.5" customHeight="1">
      <c r="A90" s="26" t="str">
        <f>A89</f>
        <v>A02.7</v>
      </c>
      <c r="B90" s="50" t="s">
        <v>197</v>
      </c>
      <c r="C90" s="49" t="str">
        <f>VLOOKUP(B90,'Composição dos serv'!A:I,3,FALSE)</f>
        <v>Remoção de aparelhos sanitarios - por banheiro</v>
      </c>
      <c r="D90" s="50" t="str">
        <f>VLOOKUP(B90,'Composição dos serv'!A:I,4,FALSE)</f>
        <v>unid</v>
      </c>
      <c r="E90" s="49">
        <v>1</v>
      </c>
      <c r="F90" s="37">
        <f t="shared" ref="F90:F92" si="22">ROUNDUP(E90*1,2)</f>
        <v>1</v>
      </c>
      <c r="G90" s="51">
        <f>SUMIF('Composição dos serv'!A:A,B90,'Composição dos serv'!I:I)</f>
        <v>0</v>
      </c>
      <c r="H90" s="51">
        <f t="shared" ref="H90:H96" si="23">E90*G90</f>
        <v>0</v>
      </c>
      <c r="I90" s="24"/>
      <c r="J90" s="24"/>
      <c r="K90" s="39">
        <f>SUMIF('Composição dos serv'!A:A,B90,'Composição dos serv'!K:K)</f>
        <v>0.19</v>
      </c>
      <c r="L90" s="40">
        <f t="shared" si="16"/>
        <v>1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25.5" customHeight="1">
      <c r="A91" s="26" t="str">
        <f>A89</f>
        <v>A02.7</v>
      </c>
      <c r="B91" s="50" t="s">
        <v>209</v>
      </c>
      <c r="C91" s="37" t="str">
        <f>VLOOKUP(B91,'Composição dos serv'!A:I,3,FALSE)</f>
        <v>Remoção de aparelhos sanitarios - Cozinha e Área de Serviço</v>
      </c>
      <c r="D91" s="26" t="str">
        <f>VLOOKUP(B91,'Composição dos serv'!A:I,4,FALSE)</f>
        <v>unid</v>
      </c>
      <c r="E91" s="37">
        <v>1</v>
      </c>
      <c r="F91" s="37">
        <f t="shared" si="22"/>
        <v>1</v>
      </c>
      <c r="G91" s="51">
        <f>SUMIF('Composição dos serv'!A:A,B91,'Composição dos serv'!I:I)</f>
        <v>0</v>
      </c>
      <c r="H91" s="38">
        <f t="shared" si="23"/>
        <v>0</v>
      </c>
      <c r="I91" s="24"/>
      <c r="J91" s="24"/>
      <c r="K91" s="39">
        <f>SUMIF('Composição dos serv'!A:A,B91,'Composição dos serv'!K:K)</f>
        <v>0.21</v>
      </c>
      <c r="L91" s="40">
        <f t="shared" si="16"/>
        <v>1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25.5" customHeight="1">
      <c r="A92" s="26" t="str">
        <f>A89</f>
        <v>A02.7</v>
      </c>
      <c r="B92" s="50" t="s">
        <v>215</v>
      </c>
      <c r="C92" s="37" t="str">
        <f>VLOOKUP(B92,'Composição dos serv'!A:I,3,FALSE)</f>
        <v>Remoção de caixa d'agua</v>
      </c>
      <c r="D92" s="26" t="str">
        <f>VLOOKUP(B92,'Composição dos serv'!A:I,4,FALSE)</f>
        <v>unid</v>
      </c>
      <c r="E92" s="37">
        <v>1</v>
      </c>
      <c r="F92" s="37">
        <f t="shared" si="22"/>
        <v>1</v>
      </c>
      <c r="G92" s="51">
        <f>SUMIF('Composição dos serv'!A:A,B92,'Composição dos serv'!I:I)</f>
        <v>0</v>
      </c>
      <c r="H92" s="38">
        <f t="shared" si="23"/>
        <v>0</v>
      </c>
      <c r="I92" s="24"/>
      <c r="J92" s="24"/>
      <c r="K92" s="39">
        <f>SUMIF('Composição dos serv'!A:A,B92,'Composição dos serv'!K:K)</f>
        <v>0.42000000000000004</v>
      </c>
      <c r="L92" s="40">
        <f t="shared" si="16"/>
        <v>1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25.5" hidden="1" customHeight="1">
      <c r="A93" s="26" t="str">
        <f>A89</f>
        <v>A02.7</v>
      </c>
      <c r="B93" s="50" t="s">
        <v>219</v>
      </c>
      <c r="C93" s="37" t="str">
        <f>VLOOKUP(B93,'Composição dos serv'!A:I,3,FALSE)</f>
        <v>Remoção do Sistema de Para raios - área do telhado</v>
      </c>
      <c r="D93" s="26" t="str">
        <f>VLOOKUP(B93,'Composição dos serv'!A:I,4,FALSE)</f>
        <v>m²</v>
      </c>
      <c r="E93" s="37"/>
      <c r="F93" s="37">
        <f>ROUNDUP(E93/60,2)</f>
        <v>0</v>
      </c>
      <c r="G93" s="51">
        <f>SUMIF('Composição dos serv'!A:A,B93,'Composição dos serv'!I:I)</f>
        <v>0</v>
      </c>
      <c r="H93" s="38">
        <f t="shared" si="23"/>
        <v>0</v>
      </c>
      <c r="I93" s="24"/>
      <c r="J93" s="24"/>
      <c r="K93" s="39">
        <f>SUMIF('Composição dos serv'!A:A,B93,'Composição dos serv'!K:K)</f>
        <v>0.05</v>
      </c>
      <c r="L93" s="40">
        <f t="shared" si="16"/>
        <v>0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25.5" customHeight="1">
      <c r="A94" s="26" t="str">
        <f>A89</f>
        <v>A02.7</v>
      </c>
      <c r="B94" s="50" t="s">
        <v>227</v>
      </c>
      <c r="C94" s="37" t="str">
        <f>VLOOKUP(B94,'Composição dos serv'!A:I,3,FALSE)</f>
        <v>Janelas</v>
      </c>
      <c r="D94" s="26" t="str">
        <f>VLOOKUP(B94,'Composição dos serv'!A:I,4,FALSE)</f>
        <v>un</v>
      </c>
      <c r="E94" s="37">
        <v>5</v>
      </c>
      <c r="F94" s="37">
        <f>ROUNDUP(E94*1.5*1.2*0.2,2)</f>
        <v>1.8</v>
      </c>
      <c r="G94" s="51">
        <f>SUMIF('Composição dos serv'!A:A,B94,'Composição dos serv'!I:I)</f>
        <v>0</v>
      </c>
      <c r="H94" s="38">
        <f t="shared" si="23"/>
        <v>0</v>
      </c>
      <c r="I94" s="24"/>
      <c r="J94" s="24"/>
      <c r="K94" s="39">
        <f>SUMIF('Composição dos serv'!A:A,B94,'Composição dos serv'!K:K)</f>
        <v>0</v>
      </c>
      <c r="L94" s="40">
        <f t="shared" si="16"/>
        <v>0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25.5" customHeight="1">
      <c r="A95" s="26" t="str">
        <f>A89</f>
        <v>A02.7</v>
      </c>
      <c r="B95" s="50" t="s">
        <v>234</v>
      </c>
      <c r="C95" s="37" t="str">
        <f>VLOOKUP(B95,'Composição dos serv'!A:I,3,FALSE)</f>
        <v>Portas</v>
      </c>
      <c r="D95" s="26" t="str">
        <f>VLOOKUP(B95,'Composição dos serv'!A:I,4,FALSE)</f>
        <v>un</v>
      </c>
      <c r="E95" s="37">
        <v>2</v>
      </c>
      <c r="F95" s="37">
        <f>ROUNDUP(E95*2.1*0.9*0.2,2)</f>
        <v>0.76</v>
      </c>
      <c r="G95" s="51">
        <f>SUMIF('Composição dos serv'!A:A,B95,'Composição dos serv'!I:I)</f>
        <v>0</v>
      </c>
      <c r="H95" s="38">
        <f t="shared" si="23"/>
        <v>0</v>
      </c>
      <c r="I95" s="24"/>
      <c r="J95" s="24"/>
      <c r="K95" s="39">
        <f>SUMIF('Composição dos serv'!A:A,B95,'Composição dos serv'!K:K)</f>
        <v>0</v>
      </c>
      <c r="L95" s="40">
        <f t="shared" si="16"/>
        <v>0</v>
      </c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25.5" hidden="1" customHeight="1">
      <c r="A96" s="26" t="str">
        <f>A89</f>
        <v>A02.7</v>
      </c>
      <c r="B96" s="50" t="s">
        <v>236</v>
      </c>
      <c r="C96" s="37" t="str">
        <f>VLOOKUP(B96,'Composição dos serv'!A:I,3,FALSE)</f>
        <v>Guarda corpo de metal</v>
      </c>
      <c r="D96" s="26" t="str">
        <f>VLOOKUP(B96,'Composição dos serv'!A:I,4,FALSE)</f>
        <v>m</v>
      </c>
      <c r="E96" s="37"/>
      <c r="F96" s="37">
        <f>ROUNDUP(E96*1.7*0.05,2)</f>
        <v>0</v>
      </c>
      <c r="G96" s="51">
        <f>SUMIF('Composição dos serv'!A:A,B96,'Composição dos serv'!I:I)</f>
        <v>0</v>
      </c>
      <c r="H96" s="38">
        <f t="shared" si="23"/>
        <v>0</v>
      </c>
      <c r="I96" s="24"/>
      <c r="J96" s="24"/>
      <c r="K96" s="39">
        <f>SUMIF('Composição dos serv'!A:A,B96,'Composição dos serv'!K:K)</f>
        <v>0</v>
      </c>
      <c r="L96" s="40">
        <f t="shared" si="16"/>
        <v>0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6" ht="25.5" customHeight="1">
      <c r="A97" s="33" t="str">
        <f>CONCATENATE(A63,".8")</f>
        <v>A02.8</v>
      </c>
      <c r="B97" s="33" t="s">
        <v>240</v>
      </c>
      <c r="C97" s="48" t="str">
        <f>VLOOKUP(B97,'Composição dos serv'!A:I,3,FALSE)</f>
        <v>ENTULHO</v>
      </c>
      <c r="D97" s="48"/>
      <c r="E97" s="48"/>
      <c r="F97" s="48"/>
      <c r="G97" s="48"/>
      <c r="H97" s="48"/>
      <c r="I97" s="24"/>
      <c r="J97" s="24"/>
      <c r="K97" s="39">
        <f>SUMIF('Composição dos serv'!A:A,B97,'Composição dos serv'!K:K)</f>
        <v>0</v>
      </c>
      <c r="L97" s="40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6" ht="25.5" hidden="1" customHeight="1">
      <c r="A98" s="26" t="str">
        <f>A97</f>
        <v>A02.8</v>
      </c>
      <c r="B98" s="50" t="s">
        <v>242</v>
      </c>
      <c r="C98" s="49" t="str">
        <f>VLOOKUP(B98,'Composição dos serv'!A:I,3,FALSE)</f>
        <v>Transporte e espalhamento Manual do entulho a ser reutilizado</v>
      </c>
      <c r="D98" s="50" t="s">
        <v>291</v>
      </c>
      <c r="E98" s="49"/>
      <c r="F98" s="52">
        <f>IF(E98=1,ROUNDUP((IF(E66&lt;&gt;"",F66,0)+IF(E67&lt;&gt;"",F67,0)+IF(E69&lt;&gt;"",F69,0)+IF(E70&lt;&gt;"",F70*0.34,0)+IF(E73&lt;&gt;"",F73*0.43,0)+IF(E76&lt;&gt;"",F76*0.8,0)+IF(E79&lt;&gt;"",F79*(0.78),0)+IF(E83&lt;&gt;"",F83*0.98,0)+IF(E85&lt;&gt;"",F85*0.91,0)+IF(E86&lt;&gt;"",F86*0.26,0)+IF(E87&lt;&gt;"",F87*0.24,0)+IF(E88&lt;&gt;"",F88,0)),2),0)</f>
        <v>0</v>
      </c>
      <c r="G98" s="51">
        <f>SUMIF('Composição dos serv'!A:A,B98,'Composição dos serv'!I:I)</f>
        <v>0</v>
      </c>
      <c r="H98" s="51">
        <f t="shared" ref="H98:H99" si="24">F98*G98</f>
        <v>0</v>
      </c>
      <c r="I98" s="24"/>
      <c r="J98" s="24"/>
      <c r="K98" s="39">
        <f>SUMIF('Composição dos serv'!A:A,B98,'Composição dos serv'!K:K)</f>
        <v>0.15000000000000002</v>
      </c>
      <c r="L98" s="40">
        <f t="shared" ref="L98:L101" si="25">ROUNDUP(K98*F98,0)</f>
        <v>0</v>
      </c>
      <c r="M98" s="45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6" ht="25.5" hidden="1" customHeight="1">
      <c r="A99" s="26" t="str">
        <f>A97</f>
        <v>A02.8</v>
      </c>
      <c r="B99" s="50" t="s">
        <v>246</v>
      </c>
      <c r="C99" s="49" t="str">
        <f>VLOOKUP(B99,'Composição dos serv'!A:I,3,FALSE)</f>
        <v>Remoção e Transporte Mecanizado do entulho a ser reutilizado</v>
      </c>
      <c r="D99" s="50" t="s">
        <v>291</v>
      </c>
      <c r="E99" s="49"/>
      <c r="F99" s="52">
        <f>IF(E99=1,SUM(F66:F96)-H103,0)</f>
        <v>0</v>
      </c>
      <c r="G99" s="51">
        <f>SUMIF('Composição dos serv'!A:A,B99,'Composição dos serv'!I:I)</f>
        <v>0</v>
      </c>
      <c r="H99" s="51">
        <f t="shared" si="24"/>
        <v>0</v>
      </c>
      <c r="I99" s="24"/>
      <c r="J99" s="24"/>
      <c r="K99" s="39">
        <f>SUMIF('Composição dos serv'!A:A,B99,'Composição dos serv'!K:K)</f>
        <v>0.02</v>
      </c>
      <c r="L99" s="40">
        <f t="shared" si="25"/>
        <v>0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6" ht="25.5" customHeight="1">
      <c r="A100" s="26" t="str">
        <f>A97</f>
        <v>A02.8</v>
      </c>
      <c r="B100" s="50" t="s">
        <v>252</v>
      </c>
      <c r="C100" s="49" t="str">
        <f>VLOOKUP(B100,'Composição dos serv'!A:I,3,FALSE)</f>
        <v>Remoção do entulho com caçamba</v>
      </c>
      <c r="D100" s="50" t="s">
        <v>291</v>
      </c>
      <c r="E100" s="49">
        <v>1</v>
      </c>
      <c r="F100" s="52">
        <f>IF(E100=1,SUM(F66:F96),0)</f>
        <v>184.96</v>
      </c>
      <c r="G100" s="51">
        <f>SUMIF('Composição dos serv'!A:A,B100,'Composição dos serv'!I:I)</f>
        <v>0</v>
      </c>
      <c r="H100" s="51">
        <f>IF(E100&gt;1,"OPÇÃO ERRADA",F100*G100)+IF(G103=1,H103*G100,0)</f>
        <v>0</v>
      </c>
      <c r="I100" s="24"/>
      <c r="J100" s="24"/>
      <c r="K100" s="39">
        <f>SUMIF('Composição dos serv'!A:A,B100,'Composição dos serv'!K:K)</f>
        <v>0.02</v>
      </c>
      <c r="L100" s="40">
        <f t="shared" si="25"/>
        <v>4</v>
      </c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6" ht="25.5" hidden="1" customHeight="1">
      <c r="A101" s="26" t="str">
        <f>A97</f>
        <v>A02.8</v>
      </c>
      <c r="B101" s="50" t="s">
        <v>256</v>
      </c>
      <c r="C101" s="49" t="str">
        <f>VLOOKUP(B101,'Composição dos serv'!A:I,3,FALSE)</f>
        <v>Remoção e Transporte Mecanizado do entulho para bota fora</v>
      </c>
      <c r="D101" s="50" t="s">
        <v>291</v>
      </c>
      <c r="E101" s="49"/>
      <c r="F101" s="52">
        <f>IF(E101=1,SUM(F66:F96),0)</f>
        <v>0</v>
      </c>
      <c r="G101" s="51">
        <f>SUMIF('Composição dos serv'!A:A,B101,'Composição dos serv'!I:I)</f>
        <v>0</v>
      </c>
      <c r="H101" s="51">
        <f>IF(E101&gt;1,"OPÇÃO ERRADA",F101*G101)+IF(G103=2,H103*G101,0)</f>
        <v>0</v>
      </c>
      <c r="I101" s="24"/>
      <c r="J101" s="24"/>
      <c r="K101" s="39">
        <f>SUMIF('Composição dos serv'!A:A,B101,'Composição dos serv'!K:K)</f>
        <v>7.9999999999999988E-2</v>
      </c>
      <c r="L101" s="40">
        <f t="shared" si="25"/>
        <v>0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6" ht="25.5" customHeight="1">
      <c r="A102" s="26" t="str">
        <f>A97</f>
        <v>A02.8</v>
      </c>
      <c r="B102" s="50" t="s">
        <v>264</v>
      </c>
      <c r="C102" s="49" t="str">
        <f>VLOOKUP(B102,'Composição dos serv'!A:I,3,FALSE)</f>
        <v>Remoção de telhas em cimento amianto</v>
      </c>
      <c r="D102" s="26" t="str">
        <f>VLOOKUP(B102,'Composição dos serv'!A:I,4,FALSE)</f>
        <v>m²</v>
      </c>
      <c r="E102" s="49">
        <v>150</v>
      </c>
      <c r="F102" s="52"/>
      <c r="G102" s="51">
        <f>SUMIF('Composição dos serv'!A:A,B102,'Composição dos serv'!I:I)</f>
        <v>0</v>
      </c>
      <c r="H102" s="51">
        <f>G102*E102</f>
        <v>0</v>
      </c>
      <c r="I102" s="24"/>
      <c r="J102" s="24"/>
      <c r="K102" s="39"/>
      <c r="L102" s="40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6" ht="25.5" customHeight="1">
      <c r="A103" s="53"/>
      <c r="B103" s="53"/>
      <c r="C103" s="37" t="str">
        <f>IF(E100&lt;&gt;1,IF(E101&lt;&gt;1,IF(H103&lt;&gt;0,"Há Material não reutilizavel qual a destinação para ele?",""),""),"")</f>
        <v/>
      </c>
      <c r="D103" s="168" t="str">
        <f>IF(E100&lt;&gt;1,IF(E101&lt;&gt;1,IF(H103&lt;&gt;0,"Caçamba = 1; Aterro = 2",""),""),"")</f>
        <v/>
      </c>
      <c r="E103" s="169"/>
      <c r="F103" s="170"/>
      <c r="G103" s="37">
        <v>1</v>
      </c>
      <c r="H103" s="54">
        <f>IF(E100=1,0,IF(E101=1,0,ROUNDUP((IF(E70&lt;&gt;"",F70*0.66,0)+IF(E73&lt;&gt;"",F73*0.57,0)+IF(E75&lt;&gt;"",F75,0)+IF(E76&lt;&gt;"",F76*0.2,0)+IF(E77&lt;&gt;"",F77,0)+IF(E79&lt;&gt;"",F79*0.22,0)+IF(E80&lt;&gt;"",F80,0)+IF(E81&lt;&gt;"",F81,0)+IF(E83&lt;&gt;"",F83*0.02,0)+IF(E85&lt;&gt;"",F85*0.09,0)+IF(E86&lt;&gt;"",F86*0.74,0)+IF(E87&lt;&gt;"",F87*(1-0.24),0)+IF(E90&lt;&gt;"",F90,0)+IF(E91&lt;&gt;"",F91,0)+IF(E92&lt;&gt;"",F92,0)+IF(E93&lt;&gt;"",F93,0)+IF(E94&lt;&gt;"",F94,0)+IF(E95&lt;&gt;"",F95,0)+IF(E96&lt;&gt;"",F96,0)+IF(E74&lt;&gt;"",F74,0)+IF(E72&lt;&gt;"",F72,0)),2)))</f>
        <v>0</v>
      </c>
      <c r="I103" s="24"/>
      <c r="J103" s="24"/>
      <c r="K103" s="39"/>
      <c r="L103" s="40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6" ht="25.5" hidden="1" customHeight="1">
      <c r="I104" s="24"/>
      <c r="J104" s="24"/>
      <c r="K104" s="39">
        <f>SUMIF('Composição dos serv'!A:A,'PESM Itutinga Piloes pt1'!B104,'Composição dos serv'!K:K)</f>
        <v>0</v>
      </c>
      <c r="L104" s="40">
        <f>ROUNDUP(K104*E104,0)</f>
        <v>0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6" ht="25.5" customHeight="1">
      <c r="A105" s="57" t="str">
        <f>A63</f>
        <v>A02</v>
      </c>
      <c r="B105" s="195" t="str">
        <f>C63</f>
        <v>EDIFICAÇÃO 2 - Gleba A02</v>
      </c>
      <c r="C105" s="169"/>
      <c r="D105" s="196" t="s">
        <v>280</v>
      </c>
      <c r="E105" s="169"/>
      <c r="F105" s="169"/>
      <c r="G105" s="60">
        <f>SUM(H66:H102)</f>
        <v>0</v>
      </c>
      <c r="H105" s="61"/>
      <c r="I105" s="24"/>
      <c r="J105" s="24"/>
      <c r="K105" s="39">
        <f>IF(SUM(L98:L101)&gt;SUM(L66:L96),SUM(L98:L101),SUM(L66:L96))</f>
        <v>47</v>
      </c>
      <c r="L105" s="40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6" ht="25.5" customHeight="1">
      <c r="A106" s="30"/>
      <c r="B106" s="44"/>
      <c r="C106" s="24"/>
      <c r="D106" s="44"/>
      <c r="E106" s="24"/>
      <c r="F106" s="24"/>
      <c r="G106" s="45"/>
      <c r="H106" s="45"/>
      <c r="I106" s="24"/>
      <c r="J106" s="24"/>
      <c r="K106" s="39">
        <f>SUMIF('Composição dos serv'!A:A,'PESM Itutinga Piloes pt1'!B106,'Composição dos serv'!K:K)</f>
        <v>0</v>
      </c>
      <c r="L106" s="40">
        <f t="shared" ref="L106:L108" si="26">ROUNDUP(K106*E106,0)</f>
        <v>0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25.5" customHeight="1">
      <c r="A107" s="62" t="s">
        <v>294</v>
      </c>
      <c r="B107" s="62">
        <v>2</v>
      </c>
      <c r="C107" s="63" t="s">
        <v>295</v>
      </c>
      <c r="D107" s="63"/>
      <c r="E107" s="63"/>
      <c r="F107" s="63"/>
      <c r="G107" s="63"/>
      <c r="H107" s="63"/>
      <c r="I107" s="24"/>
      <c r="J107" s="24"/>
      <c r="K107" s="39">
        <f>SUMIF('Composição dos serv'!A:A,'PESM Itutinga Piloes pt1'!B107,'Composição dos serv'!K:K)</f>
        <v>0</v>
      </c>
      <c r="L107" s="40">
        <f t="shared" si="26"/>
        <v>0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6" ht="25.5" customHeight="1">
      <c r="A108" s="59"/>
      <c r="B108" s="30"/>
      <c r="C108" s="30"/>
      <c r="D108" s="30"/>
      <c r="E108" s="30"/>
      <c r="F108" s="30"/>
      <c r="G108" s="30"/>
      <c r="H108" s="30"/>
      <c r="I108" s="24"/>
      <c r="J108" s="24"/>
      <c r="K108" s="39">
        <f>SUMIF('Composição dos serv'!A:A,'PESM Itutinga Piloes pt1'!B108,'Composição dos serv'!K:K)</f>
        <v>0</v>
      </c>
      <c r="L108" s="40">
        <f t="shared" si="26"/>
        <v>0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25.5" customHeight="1">
      <c r="A109" s="33" t="str">
        <f>CONCATENATE(A107,".1")</f>
        <v>A03.1</v>
      </c>
      <c r="B109" s="33" t="s">
        <v>67</v>
      </c>
      <c r="C109" s="48" t="str">
        <f>VLOOKUP(B109,'Composição dos serv'!A:I,3,FALSE)</f>
        <v>DEMOLIÇÃO DE CALÇADAS E/OU CAMINHOS</v>
      </c>
      <c r="D109" s="48"/>
      <c r="E109" s="48"/>
      <c r="F109" s="48"/>
      <c r="G109" s="48"/>
      <c r="H109" s="48"/>
      <c r="I109" s="24"/>
      <c r="J109" s="24"/>
      <c r="K109" s="31"/>
      <c r="L109" s="32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6" ht="25.5" customHeight="1">
      <c r="A110" s="26" t="str">
        <f>A109</f>
        <v>A03.1</v>
      </c>
      <c r="B110" s="26" t="s">
        <v>69</v>
      </c>
      <c r="C110" s="49" t="str">
        <f>VLOOKUP(B110,'Composição dos serv'!A:I,3,FALSE)</f>
        <v>Demolição de calçada ou caminhos</v>
      </c>
      <c r="D110" s="50" t="str">
        <f>VLOOKUP(B110,'Composição dos serv'!A:I,4,FALSE)</f>
        <v>m²</v>
      </c>
      <c r="E110" s="49">
        <v>30</v>
      </c>
      <c r="F110" s="49">
        <f>ROUNDUP(E110*0.15,2)</f>
        <v>4.5</v>
      </c>
      <c r="G110" s="51">
        <f>SUMIF('Composição dos serv'!A:A,'PESM Itutinga Piloes pt1'!B110,'Composição dos serv'!I:I)</f>
        <v>0</v>
      </c>
      <c r="H110" s="51">
        <f t="shared" ref="H110:H111" si="27">E110*G110</f>
        <v>0</v>
      </c>
      <c r="I110" s="24"/>
      <c r="J110" s="24"/>
      <c r="K110" s="39">
        <f>SUMIF('Composição dos serv'!A:A,B110,'Composição dos serv'!K:K)</f>
        <v>0.12</v>
      </c>
      <c r="L110" s="40">
        <f t="shared" ref="L110:L140" si="28">ROUNDUP(K110*E110,0)</f>
        <v>4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6" ht="25.5" hidden="1" customHeight="1">
      <c r="A111" s="26" t="str">
        <f>A109</f>
        <v>A03.1</v>
      </c>
      <c r="B111" s="26" t="s">
        <v>75</v>
      </c>
      <c r="C111" s="37" t="str">
        <f>VLOOKUP(B111,'Composição dos serv'!A:I,3,FALSE)</f>
        <v>Demolição de via Asfaltada, em paralelepípedo ou intertravados</v>
      </c>
      <c r="D111" s="26" t="str">
        <f>VLOOKUP(B111,'Composição dos serv'!A:I,4,FALSE)</f>
        <v>m²</v>
      </c>
      <c r="E111" s="37"/>
      <c r="F111" s="37">
        <f>ROUNDUP(E111*0.2,2)</f>
        <v>0</v>
      </c>
      <c r="G111" s="38">
        <f>SUMIF('Composição dos serv'!A:A,'PESM Itutinga Piloes pt1'!B111,'Composição dos serv'!I:I)</f>
        <v>0</v>
      </c>
      <c r="H111" s="38">
        <f t="shared" si="27"/>
        <v>0</v>
      </c>
      <c r="I111" s="24"/>
      <c r="J111" s="24"/>
      <c r="K111" s="39">
        <f>SUMIF('Composição dos serv'!A:A,B111,'Composição dos serv'!K:K)</f>
        <v>0.06</v>
      </c>
      <c r="L111" s="40">
        <f t="shared" si="28"/>
        <v>0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6" ht="25.5" customHeight="1">
      <c r="A112" s="33" t="str">
        <f>CONCATENATE(A107,".2")</f>
        <v>A03.2</v>
      </c>
      <c r="B112" s="33" t="s">
        <v>85</v>
      </c>
      <c r="C112" s="34" t="str">
        <f>VLOOKUP(B112,'Composição dos serv'!A:I,3,FALSE)</f>
        <v>DEMOLIÇÃO DE MUROS E CERCAS</v>
      </c>
      <c r="D112" s="35"/>
      <c r="E112" s="35"/>
      <c r="F112" s="35"/>
      <c r="G112" s="35"/>
      <c r="H112" s="36"/>
      <c r="I112" s="24"/>
      <c r="J112" s="24"/>
      <c r="K112" s="39">
        <f>SUMIF('Composição dos serv'!A:A,B112,'Composição dos serv'!K:K)</f>
        <v>0</v>
      </c>
      <c r="L112" s="40">
        <f t="shared" si="28"/>
        <v>0</v>
      </c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25.5" hidden="1" customHeight="1">
      <c r="A113" s="26" t="str">
        <f>A112</f>
        <v>A03.2</v>
      </c>
      <c r="B113" s="26" t="s">
        <v>87</v>
      </c>
      <c r="C113" s="37" t="str">
        <f>VLOOKUP(B113,'Composição dos serv'!A:I,3,FALSE)</f>
        <v>Demolição de muro em alvenaria ou alambrados</v>
      </c>
      <c r="D113" s="26" t="str">
        <f>VLOOKUP(B113,'Composição dos serv'!A:I,4,FALSE)</f>
        <v>m</v>
      </c>
      <c r="E113" s="37"/>
      <c r="F113" s="37">
        <f>ROUNDUP(E113*0.2*2.4,2)</f>
        <v>0</v>
      </c>
      <c r="G113" s="38">
        <f>SUMIF('Composição dos serv'!A:A,'PESM Itutinga Piloes pt1'!B113,'Composição dos serv'!I:I)</f>
        <v>0</v>
      </c>
      <c r="H113" s="38">
        <f t="shared" ref="H113:H114" si="29">E113*G113</f>
        <v>0</v>
      </c>
      <c r="I113" s="24"/>
      <c r="J113" s="24"/>
      <c r="K113" s="39">
        <f>SUMIF('Composição dos serv'!A:A,B113,'Composição dos serv'!K:K)</f>
        <v>0.26</v>
      </c>
      <c r="L113" s="40">
        <f t="shared" si="28"/>
        <v>0</v>
      </c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25.5" customHeight="1">
      <c r="A114" s="26" t="str">
        <f>A112</f>
        <v>A03.2</v>
      </c>
      <c r="B114" s="26" t="s">
        <v>93</v>
      </c>
      <c r="C114" s="37" t="str">
        <f>VLOOKUP(B114,'Composição dos serv'!A:I,3,FALSE)</f>
        <v>Demolição de Cercas</v>
      </c>
      <c r="D114" s="26" t="str">
        <f>VLOOKUP(B114,'Composição dos serv'!A:I,4,FALSE)</f>
        <v>m</v>
      </c>
      <c r="E114" s="37">
        <v>200</v>
      </c>
      <c r="F114" s="37">
        <f>ROUNDUP(E114*0.1*1.8,2)</f>
        <v>36</v>
      </c>
      <c r="G114" s="38">
        <f>SUMIF('Composição dos serv'!A:A,'PESM Itutinga Piloes pt1'!B114,'Composição dos serv'!I:I)</f>
        <v>0</v>
      </c>
      <c r="H114" s="38">
        <f t="shared" si="29"/>
        <v>0</v>
      </c>
      <c r="I114" s="24"/>
      <c r="J114" s="24"/>
      <c r="K114" s="39">
        <f>SUMIF('Composição dos serv'!A:A,B114,'Composição dos serv'!K:K)</f>
        <v>0.06</v>
      </c>
      <c r="L114" s="40">
        <f t="shared" si="28"/>
        <v>12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25.5" customHeight="1">
      <c r="A115" s="33" t="str">
        <f>CONCATENATE(A107,".3")</f>
        <v>A03.3</v>
      </c>
      <c r="B115" s="33" t="s">
        <v>99</v>
      </c>
      <c r="C115" s="48" t="str">
        <f>VLOOKUP(B115,'Composição dos serv'!A:I,3,FALSE)</f>
        <v>COBERTURA</v>
      </c>
      <c r="D115" s="48"/>
      <c r="E115" s="48"/>
      <c r="F115" s="48"/>
      <c r="G115" s="48"/>
      <c r="H115" s="48"/>
      <c r="I115" s="24"/>
      <c r="J115" s="24"/>
      <c r="K115" s="39">
        <f>SUMIF('Composição dos serv'!A:A,B115,'Composição dos serv'!K:K)</f>
        <v>0</v>
      </c>
      <c r="L115" s="40">
        <f t="shared" si="28"/>
        <v>0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8.75" hidden="1" customHeight="1">
      <c r="A116" s="26" t="str">
        <f t="shared" ref="A116:A121" si="30">A115</f>
        <v>A03.3</v>
      </c>
      <c r="B116" s="26" t="s">
        <v>101</v>
      </c>
      <c r="C116" s="37" t="str">
        <f>VLOOKUP(B116,'Composição dos serv'!A:I,3,FALSE)</f>
        <v>Retirada de Estrutura de madeira sem telhas</v>
      </c>
      <c r="D116" s="26" t="str">
        <f>VLOOKUP(B116,'Composição dos serv'!A:I,4,FALSE)</f>
        <v>m²</v>
      </c>
      <c r="E116" s="37"/>
      <c r="F116" s="37">
        <f>ROUNDUP(E116*0.2,2)</f>
        <v>0</v>
      </c>
      <c r="G116" s="38">
        <f>SUMIF('Composição dos serv'!A:A,'PESM Itutinga Piloes pt1'!B116,'Composição dos serv'!I:I)</f>
        <v>0</v>
      </c>
      <c r="H116" s="38">
        <f t="shared" ref="H116:H121" si="31">E116*G116</f>
        <v>0</v>
      </c>
      <c r="I116" s="24"/>
      <c r="J116" s="24"/>
      <c r="K116" s="39">
        <f>SUMIF('Composição dos serv'!A:A,B116,'Composição dos serv'!K:K)</f>
        <v>0.03</v>
      </c>
      <c r="L116" s="40">
        <f t="shared" si="28"/>
        <v>0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25.5" hidden="1" customHeight="1">
      <c r="A117" s="26" t="str">
        <f t="shared" si="30"/>
        <v>A03.3</v>
      </c>
      <c r="B117" s="26" t="s">
        <v>105</v>
      </c>
      <c r="C117" s="37" t="str">
        <f>VLOOKUP(B117,'Composição dos serv'!A:I,3,FALSE)</f>
        <v>Retirada de Telhas de Barro com Estrutura em madeira (tesouras, treliças,...)</v>
      </c>
      <c r="D117" s="26" t="str">
        <f>VLOOKUP(B117,'Composição dos serv'!A:I,4,FALSE)</f>
        <v>m²</v>
      </c>
      <c r="E117" s="37"/>
      <c r="F117" s="37">
        <f>ROUNDUP(E117*0.08+E117*0.2,2)</f>
        <v>0</v>
      </c>
      <c r="G117" s="38">
        <f>SUMIF('Composição dos serv'!A:A,'PESM Itutinga Piloes pt1'!B117,'Composição dos serv'!I:I)</f>
        <v>0</v>
      </c>
      <c r="H117" s="38">
        <f t="shared" si="31"/>
        <v>0</v>
      </c>
      <c r="I117" s="24"/>
      <c r="J117" s="24"/>
      <c r="K117" s="39">
        <f>SUMIF('Composição dos serv'!A:A,B117,'Composição dos serv'!K:K)</f>
        <v>0.06</v>
      </c>
      <c r="L117" s="40">
        <f t="shared" si="28"/>
        <v>0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25.5" hidden="1" customHeight="1">
      <c r="A118" s="26" t="str">
        <f t="shared" si="30"/>
        <v>A03.3</v>
      </c>
      <c r="B118" s="26" t="s">
        <v>111</v>
      </c>
      <c r="C118" s="37" t="str">
        <f>VLOOKUP(B118,'Composição dos serv'!A:I,3,FALSE)</f>
        <v>Retirada de Telhas de amianto Sem Estrutura</v>
      </c>
      <c r="D118" s="26" t="str">
        <f>VLOOKUP(B118,'Composição dos serv'!A:I,4,FALSE)</f>
        <v>m²</v>
      </c>
      <c r="E118" s="37"/>
      <c r="F118" s="37"/>
      <c r="G118" s="38">
        <f>SUMIF('Composição dos serv'!A:A,'PESM Itutinga Piloes pt1'!B118,'Composição dos serv'!I:I)</f>
        <v>0</v>
      </c>
      <c r="H118" s="38">
        <f t="shared" si="31"/>
        <v>0</v>
      </c>
      <c r="I118" s="24"/>
      <c r="J118" s="24"/>
      <c r="K118" s="39">
        <f>SUMIF('Composição dos serv'!A:A,B118,'Composição dos serv'!K:K)</f>
        <v>0.02</v>
      </c>
      <c r="L118" s="40">
        <f t="shared" si="28"/>
        <v>0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25.5" customHeight="1">
      <c r="A119" s="26" t="str">
        <f t="shared" si="30"/>
        <v>A03.3</v>
      </c>
      <c r="B119" s="26" t="s">
        <v>117</v>
      </c>
      <c r="C119" s="37" t="str">
        <f>VLOOKUP(B119,'Composição dos serv'!A:I,3,FALSE)</f>
        <v>Retirada de Telhas de amianto com Estrutura em madeira (tesouras, treliças,...)</v>
      </c>
      <c r="D119" s="26" t="str">
        <f>VLOOKUP(B119,'Composição dos serv'!A:I,4,FALSE)</f>
        <v>m²</v>
      </c>
      <c r="E119" s="37">
        <v>140</v>
      </c>
      <c r="F119" s="37">
        <f>ROUNDUP(E119*0.1,2)</f>
        <v>14</v>
      </c>
      <c r="G119" s="38">
        <f>SUMIF('Composição dos serv'!A:A,'PESM Itutinga Piloes pt1'!B119,'Composição dos serv'!I:I)</f>
        <v>0</v>
      </c>
      <c r="H119" s="38">
        <f t="shared" si="31"/>
        <v>0</v>
      </c>
      <c r="I119" s="24"/>
      <c r="J119" s="24"/>
      <c r="K119" s="39">
        <f>SUMIF('Composição dos serv'!A:A,B119,'Composição dos serv'!K:K)</f>
        <v>0.04</v>
      </c>
      <c r="L119" s="40">
        <f t="shared" si="28"/>
        <v>6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25.5" hidden="1" customHeight="1">
      <c r="A120" s="26" t="str">
        <f t="shared" si="30"/>
        <v>A03.3</v>
      </c>
      <c r="B120" s="26" t="s">
        <v>121</v>
      </c>
      <c r="C120" s="37" t="str">
        <f>VLOOKUP(B120,'Composição dos serv'!A:I,3,FALSE)</f>
        <v>Retirada de Laje em concreto</v>
      </c>
      <c r="D120" s="26" t="str">
        <f>VLOOKUP(B120,'Composição dos serv'!A:I,4,FALSE)</f>
        <v>m²</v>
      </c>
      <c r="E120" s="37"/>
      <c r="F120" s="37">
        <f>ROUNDUP(E120*0.12,2)</f>
        <v>0</v>
      </c>
      <c r="G120" s="38">
        <f>SUMIF('Composição dos serv'!A:A,'PESM Itutinga Piloes pt1'!B120,'Composição dos serv'!I:I)</f>
        <v>0</v>
      </c>
      <c r="H120" s="38">
        <f t="shared" si="31"/>
        <v>0</v>
      </c>
      <c r="I120" s="24"/>
      <c r="J120" s="24"/>
      <c r="K120" s="39">
        <f>SUMIF('Composição dos serv'!A:A,B120,'Composição dos serv'!K:K)</f>
        <v>0.09</v>
      </c>
      <c r="L120" s="40">
        <f t="shared" si="28"/>
        <v>0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25.5" customHeight="1">
      <c r="A121" s="26" t="str">
        <f t="shared" si="30"/>
        <v>A03.3</v>
      </c>
      <c r="B121" s="26" t="s">
        <v>129</v>
      </c>
      <c r="C121" s="37" t="str">
        <f>VLOOKUP(B121,'Composição dos serv'!A:I,3,FALSE)</f>
        <v>Retirada de Forros qualquer com sistema de fixação</v>
      </c>
      <c r="D121" s="26" t="str">
        <f>VLOOKUP(B121,'Composição dos serv'!A:I,4,FALSE)</f>
        <v>m²</v>
      </c>
      <c r="E121" s="37">
        <v>84</v>
      </c>
      <c r="F121" s="37">
        <f>ROUNDUP(E121*0.1,2)</f>
        <v>8.4</v>
      </c>
      <c r="G121" s="38">
        <f>SUMIF('Composição dos serv'!A:A,'PESM Itutinga Piloes pt1'!B121,'Composição dos serv'!I:I)</f>
        <v>0</v>
      </c>
      <c r="H121" s="38">
        <f t="shared" si="31"/>
        <v>0</v>
      </c>
      <c r="I121" s="24"/>
      <c r="J121" s="24"/>
      <c r="K121" s="39">
        <f>SUMIF('Composição dos serv'!A:A,B121,'Composição dos serv'!K:K)</f>
        <v>0.04</v>
      </c>
      <c r="L121" s="40">
        <f t="shared" si="28"/>
        <v>4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25.5" customHeight="1">
      <c r="A122" s="33" t="str">
        <f>CONCATENATE(A107,".4")</f>
        <v>A03.4</v>
      </c>
      <c r="B122" s="33" t="s">
        <v>133</v>
      </c>
      <c r="C122" s="34" t="str">
        <f>VLOOKUP(B122,'Composição dos serv'!A:I,3,FALSE)</f>
        <v>PAREDES</v>
      </c>
      <c r="D122" s="35"/>
      <c r="E122" s="35"/>
      <c r="F122" s="35"/>
      <c r="G122" s="35"/>
      <c r="H122" s="36"/>
      <c r="I122" s="24"/>
      <c r="J122" s="24"/>
      <c r="K122" s="39">
        <f>SUMIF('Composição dos serv'!A:A,B122,'Composição dos serv'!K:K)</f>
        <v>0</v>
      </c>
      <c r="L122" s="40">
        <f t="shared" si="28"/>
        <v>0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25.5" customHeight="1">
      <c r="A123" s="26" t="str">
        <f>A122</f>
        <v>A03.4</v>
      </c>
      <c r="B123" s="26" t="s">
        <v>135</v>
      </c>
      <c r="C123" s="37" t="str">
        <f>VLOOKUP(B123,'Composição dos serv'!A:I,3,FALSE)</f>
        <v>Parede em Alvenaria - usar área construida</v>
      </c>
      <c r="D123" s="26" t="str">
        <f>VLOOKUP(B123,'Composição dos serv'!A:I,4,FALSE)</f>
        <v>m²</v>
      </c>
      <c r="E123" s="49">
        <v>140</v>
      </c>
      <c r="F123" s="37">
        <f>ROUNDUP(E123*0.8,2)</f>
        <v>112</v>
      </c>
      <c r="G123" s="38">
        <f>SUMIF('Composição dos serv'!A:A,B123,'Composição dos serv'!I:I)</f>
        <v>0</v>
      </c>
      <c r="H123" s="38">
        <f t="shared" ref="H123:H125" si="32">E123*G123</f>
        <v>0</v>
      </c>
      <c r="I123" s="24"/>
      <c r="J123" s="24"/>
      <c r="K123" s="39">
        <f>SUMIF('Composição dos serv'!A:A,B123,'Composição dos serv'!K:K)</f>
        <v>0.15000000000000002</v>
      </c>
      <c r="L123" s="40">
        <f t="shared" si="28"/>
        <v>21</v>
      </c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25.5" hidden="1" customHeight="1">
      <c r="A124" s="26" t="str">
        <f>A122</f>
        <v>A03.4</v>
      </c>
      <c r="B124" s="26" t="s">
        <v>143</v>
      </c>
      <c r="C124" s="37" t="str">
        <f>VLOOKUP(B124,'Composição dos serv'!A:I,3,FALSE)</f>
        <v>Parede em Madeirite - Chapas de madeira compensada ou aglomerada - área construída</v>
      </c>
      <c r="D124" s="26" t="str">
        <f>VLOOKUP(B124,'Composição dos serv'!A:I,4,FALSE)</f>
        <v>m²</v>
      </c>
      <c r="E124" s="37"/>
      <c r="F124" s="37">
        <f>ROUNDUP(E124*0.21,2)</f>
        <v>0</v>
      </c>
      <c r="G124" s="38">
        <f>SUMIF('Composição dos serv'!A:A,B124,'Composição dos serv'!I:I)</f>
        <v>0</v>
      </c>
      <c r="H124" s="38">
        <f t="shared" si="32"/>
        <v>0</v>
      </c>
      <c r="I124" s="24"/>
      <c r="J124" s="24"/>
      <c r="K124" s="39">
        <f>SUMIF('Composição dos serv'!A:A,B124,'Composição dos serv'!K:K)</f>
        <v>0.15000000000000002</v>
      </c>
      <c r="L124" s="40">
        <f t="shared" si="28"/>
        <v>0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25.5" hidden="1" customHeight="1">
      <c r="A125" s="26" t="str">
        <f>A122</f>
        <v>A03.4</v>
      </c>
      <c r="B125" s="26" t="s">
        <v>145</v>
      </c>
      <c r="C125" s="37" t="str">
        <f>VLOOKUP(B125,'Composição dos serv'!A:I,3,FALSE)</f>
        <v>Parede em Lambril de madeira - área construída</v>
      </c>
      <c r="D125" s="26" t="str">
        <f>VLOOKUP(B125,'Composição dos serv'!A:I,4,FALSE)</f>
        <v>m²</v>
      </c>
      <c r="E125" s="37"/>
      <c r="F125" s="37">
        <f>ROUNDUP(E125*4*0.12,2)</f>
        <v>0</v>
      </c>
      <c r="G125" s="38">
        <f>SUMIF('Composição dos serv'!A:A,B125,'Composição dos serv'!I:I)</f>
        <v>0</v>
      </c>
      <c r="H125" s="38">
        <f t="shared" si="32"/>
        <v>0</v>
      </c>
      <c r="I125" s="24"/>
      <c r="J125" s="24"/>
      <c r="K125" s="39">
        <f>SUMIF('Composição dos serv'!A:A,B125,'Composição dos serv'!K:K)</f>
        <v>0.35000000000000009</v>
      </c>
      <c r="L125" s="40">
        <f t="shared" si="28"/>
        <v>0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25.5" customHeight="1">
      <c r="A126" s="33" t="str">
        <f>CONCATENATE(A107,".5")</f>
        <v>A03.5</v>
      </c>
      <c r="B126" s="33" t="s">
        <v>153</v>
      </c>
      <c r="C126" s="34" t="str">
        <f>VLOOKUP(B126,'Composição dos serv'!A:I,3,FALSE)</f>
        <v>PISO E FUNDAÇÃO</v>
      </c>
      <c r="D126" s="35"/>
      <c r="E126" s="35"/>
      <c r="F126" s="35"/>
      <c r="G126" s="35"/>
      <c r="H126" s="36"/>
      <c r="I126" s="24"/>
      <c r="J126" s="24"/>
      <c r="K126" s="39">
        <f>SUMIF('Composição dos serv'!A:A,B126,'Composição dos serv'!K:K)</f>
        <v>0</v>
      </c>
      <c r="L126" s="40">
        <f t="shared" si="28"/>
        <v>0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25.5" hidden="1" customHeight="1">
      <c r="A127" s="26" t="str">
        <f>A126</f>
        <v>A03.5</v>
      </c>
      <c r="B127" s="26" t="s">
        <v>155</v>
      </c>
      <c r="C127" s="37" t="str">
        <f>VLOOKUP(B127,'Composição dos serv'!A:I,3,FALSE)</f>
        <v>Piso da edificação com fundação</v>
      </c>
      <c r="D127" s="26" t="str">
        <f>VLOOKUP(B127,'Composição dos serv'!A:I,4,FALSE)</f>
        <v>m²</v>
      </c>
      <c r="E127" s="37"/>
      <c r="F127" s="37">
        <f>ROUNDUP(E127*0.24,2)</f>
        <v>0</v>
      </c>
      <c r="G127" s="38">
        <f>SUMIF('Composição dos serv'!A:A,B127,'Composição dos serv'!I:I)</f>
        <v>0</v>
      </c>
      <c r="H127" s="38">
        <f>E127*G127</f>
        <v>0</v>
      </c>
      <c r="I127" s="24"/>
      <c r="J127" s="24"/>
      <c r="K127" s="39">
        <f>SUMIF('Composição dos serv'!A:A,B127,'Composição dos serv'!K:K)</f>
        <v>0.17</v>
      </c>
      <c r="L127" s="40">
        <f t="shared" si="28"/>
        <v>0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25.5" customHeight="1">
      <c r="A128" s="33" t="str">
        <f>CONCATENATE(A107,".6")</f>
        <v>A03.6</v>
      </c>
      <c r="B128" s="33" t="s">
        <v>161</v>
      </c>
      <c r="C128" s="48" t="str">
        <f>VLOOKUP(B128,'Composição dos serv'!A:I,3,FALSE)</f>
        <v>ESTRUTURAS DIVERSAS</v>
      </c>
      <c r="D128" s="48"/>
      <c r="E128" s="48"/>
      <c r="F128" s="48"/>
      <c r="G128" s="48"/>
      <c r="H128" s="48"/>
      <c r="I128" s="24"/>
      <c r="J128" s="24"/>
      <c r="K128" s="39">
        <f>SUMIF('Composição dos serv'!A:A,B128,'Composição dos serv'!K:K)</f>
        <v>0</v>
      </c>
      <c r="L128" s="40">
        <f t="shared" si="28"/>
        <v>0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25.5" hidden="1" customHeight="1">
      <c r="A129" s="26" t="str">
        <f>A128</f>
        <v>A03.6</v>
      </c>
      <c r="B129" s="26" t="s">
        <v>163</v>
      </c>
      <c r="C129" s="37" t="str">
        <f>VLOOKUP(B129,'Composição dos serv'!A:I,3,FALSE)</f>
        <v>Escada em concreto com corrimão</v>
      </c>
      <c r="D129" s="26" t="str">
        <f>VLOOKUP(B129,'Composição dos serv'!A:I,4,FALSE)</f>
        <v>m</v>
      </c>
      <c r="E129" s="49"/>
      <c r="F129" s="37">
        <f>ROUNDUP(E129*1.2*0.25,2)</f>
        <v>0</v>
      </c>
      <c r="G129" s="38">
        <f>SUMIF('Composição dos serv'!A:A,'PESM Itutinga Piloes pt1'!B129,'Composição dos serv'!I:I)</f>
        <v>0</v>
      </c>
      <c r="H129" s="38">
        <f t="shared" ref="H129:H132" si="33">E129*G129</f>
        <v>0</v>
      </c>
      <c r="I129" s="24"/>
      <c r="J129" s="24"/>
      <c r="K129" s="39">
        <f>SUMIF('Composição dos serv'!A:A,B129,'Composição dos serv'!K:K)</f>
        <v>0.39</v>
      </c>
      <c r="L129" s="40">
        <f t="shared" si="28"/>
        <v>0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25.5" customHeight="1">
      <c r="A130" s="26" t="str">
        <f>A128</f>
        <v>A03.6</v>
      </c>
      <c r="B130" s="26" t="s">
        <v>169</v>
      </c>
      <c r="C130" s="37" t="str">
        <f>VLOOKUP(B130,'Composição dos serv'!A:I,3,FALSE)</f>
        <v>Entrada de Energia - medidor</v>
      </c>
      <c r="D130" s="26" t="str">
        <f>VLOOKUP(B130,'Composição dos serv'!A:I,4,FALSE)</f>
        <v>un</v>
      </c>
      <c r="E130" s="37">
        <v>1</v>
      </c>
      <c r="F130" s="37">
        <f>ROUNDUP(E130*(3.2+(((3.1415*0.4^2)/4)*6)),2)</f>
        <v>3.96</v>
      </c>
      <c r="G130" s="38">
        <f>SUMIF('Composição dos serv'!A:A,'PESM Itutinga Piloes pt1'!B130,'Composição dos serv'!I:I)</f>
        <v>0</v>
      </c>
      <c r="H130" s="38">
        <f t="shared" si="33"/>
        <v>0</v>
      </c>
      <c r="I130" s="24"/>
      <c r="J130" s="24"/>
      <c r="K130" s="39">
        <f>SUMIF('Composição dos serv'!A:A,B130,'Composição dos serv'!K:K)</f>
        <v>1.7600000000000002</v>
      </c>
      <c r="L130" s="40">
        <f t="shared" si="28"/>
        <v>2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25.5" customHeight="1">
      <c r="A131" s="26" t="str">
        <f>A128</f>
        <v>A03.6</v>
      </c>
      <c r="B131" s="26" t="s">
        <v>183</v>
      </c>
      <c r="C131" s="37" t="str">
        <f>VLOOKUP(B131,'Composição dos serv'!A:I,3,FALSE)</f>
        <v>Hidrômetro com abrigo</v>
      </c>
      <c r="D131" s="26" t="str">
        <f>VLOOKUP(B131,'Composição dos serv'!A:I,4,FALSE)</f>
        <v>un</v>
      </c>
      <c r="E131" s="37">
        <v>1</v>
      </c>
      <c r="F131" s="37">
        <f>ROUNDUP(E131*(1.7+0.1),2)</f>
        <v>1.8</v>
      </c>
      <c r="G131" s="38">
        <f>SUMIF('Composição dos serv'!A:A,'PESM Itutinga Piloes pt1'!B131,'Composição dos serv'!I:I)</f>
        <v>0</v>
      </c>
      <c r="H131" s="38">
        <f t="shared" si="33"/>
        <v>0</v>
      </c>
      <c r="I131" s="24"/>
      <c r="J131" s="24"/>
      <c r="K131" s="39">
        <f>SUMIF('Composição dos serv'!A:A,B131,'Composição dos serv'!K:K)</f>
        <v>0.44000000000000006</v>
      </c>
      <c r="L131" s="40">
        <f t="shared" si="28"/>
        <v>1</v>
      </c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25.5" customHeight="1">
      <c r="A132" s="26" t="str">
        <f>A130</f>
        <v>A03.6</v>
      </c>
      <c r="B132" s="26" t="s">
        <v>191</v>
      </c>
      <c r="C132" s="37" t="str">
        <f>VLOOKUP(B132,'Composição dos serv'!A:I,3,FALSE)</f>
        <v>Aterro de Fossa com retirada de tampa</v>
      </c>
      <c r="D132" s="26" t="str">
        <f>VLOOKUP(B132,'Composição dos serv'!A:I,4,FALSE)</f>
        <v>un</v>
      </c>
      <c r="E132" s="37">
        <v>1</v>
      </c>
      <c r="F132" s="37">
        <f>ROUNDUP(E132*(0.4),2)</f>
        <v>0.4</v>
      </c>
      <c r="G132" s="38">
        <f>SUMIF('Composição dos serv'!A:A,'PESM Itutinga Piloes pt1'!B132,'Composição dos serv'!I:I)</f>
        <v>0</v>
      </c>
      <c r="H132" s="38">
        <f t="shared" si="33"/>
        <v>0</v>
      </c>
      <c r="I132" s="24"/>
      <c r="J132" s="24"/>
      <c r="K132" s="39">
        <f>SUMIF('Composição dos serv'!A:A,B132,'Composição dos serv'!K:K)</f>
        <v>0.85000000000000009</v>
      </c>
      <c r="L132" s="40">
        <f t="shared" si="28"/>
        <v>1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25.5" customHeight="1">
      <c r="A133" s="33" t="str">
        <f>CONCATENATE(A107,".7")</f>
        <v>A03.7</v>
      </c>
      <c r="B133" s="33" t="s">
        <v>195</v>
      </c>
      <c r="C133" s="48" t="str">
        <f>VLOOKUP(B133,'Composição dos serv'!A:I,3,FALSE)</f>
        <v>ACABAMENTOS DIVERSOS e OUTROS</v>
      </c>
      <c r="D133" s="48"/>
      <c r="E133" s="48"/>
      <c r="F133" s="48"/>
      <c r="G133" s="48"/>
      <c r="H133" s="48"/>
      <c r="I133" s="24"/>
      <c r="J133" s="24"/>
      <c r="K133" s="39">
        <f>SUMIF('Composição dos serv'!A:A,B133,'Composição dos serv'!K:K)</f>
        <v>0</v>
      </c>
      <c r="L133" s="40">
        <f t="shared" si="28"/>
        <v>0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25.5" customHeight="1">
      <c r="A134" s="26" t="str">
        <f>A133</f>
        <v>A03.7</v>
      </c>
      <c r="B134" s="50" t="s">
        <v>197</v>
      </c>
      <c r="C134" s="49" t="str">
        <f>VLOOKUP(B134,'Composição dos serv'!A:I,3,FALSE)</f>
        <v>Remoção de aparelhos sanitarios - por banheiro</v>
      </c>
      <c r="D134" s="50" t="str">
        <f>VLOOKUP(B134,'Composição dos serv'!A:I,4,FALSE)</f>
        <v>unid</v>
      </c>
      <c r="E134" s="49">
        <v>2</v>
      </c>
      <c r="F134" s="37">
        <f t="shared" ref="F134:F136" si="34">ROUNDUP(E134*1,2)</f>
        <v>2</v>
      </c>
      <c r="G134" s="51">
        <f>SUMIF('Composição dos serv'!A:A,B134,'Composição dos serv'!I:I)</f>
        <v>0</v>
      </c>
      <c r="H134" s="51">
        <f t="shared" ref="H134:H140" si="35">E134*G134</f>
        <v>0</v>
      </c>
      <c r="I134" s="24"/>
      <c r="J134" s="24"/>
      <c r="K134" s="39">
        <f>SUMIF('Composição dos serv'!A:A,B134,'Composição dos serv'!K:K)</f>
        <v>0.19</v>
      </c>
      <c r="L134" s="40">
        <f t="shared" si="28"/>
        <v>1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25.5" customHeight="1">
      <c r="A135" s="26" t="str">
        <f>A133</f>
        <v>A03.7</v>
      </c>
      <c r="B135" s="50" t="s">
        <v>209</v>
      </c>
      <c r="C135" s="37" t="str">
        <f>VLOOKUP(B135,'Composição dos serv'!A:I,3,FALSE)</f>
        <v>Remoção de aparelhos sanitarios - Cozinha e Área de Serviço</v>
      </c>
      <c r="D135" s="26" t="str">
        <f>VLOOKUP(B135,'Composição dos serv'!A:I,4,FALSE)</f>
        <v>unid</v>
      </c>
      <c r="E135" s="37">
        <v>2</v>
      </c>
      <c r="F135" s="37">
        <f t="shared" si="34"/>
        <v>2</v>
      </c>
      <c r="G135" s="51">
        <f>SUMIF('Composição dos serv'!A:A,B135,'Composição dos serv'!I:I)</f>
        <v>0</v>
      </c>
      <c r="H135" s="38">
        <f t="shared" si="35"/>
        <v>0</v>
      </c>
      <c r="I135" s="24"/>
      <c r="J135" s="24"/>
      <c r="K135" s="39">
        <f>SUMIF('Composição dos serv'!A:A,B135,'Composição dos serv'!K:K)</f>
        <v>0.21</v>
      </c>
      <c r="L135" s="40">
        <f t="shared" si="28"/>
        <v>1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25.5" customHeight="1">
      <c r="A136" s="26" t="str">
        <f>A133</f>
        <v>A03.7</v>
      </c>
      <c r="B136" s="50" t="s">
        <v>215</v>
      </c>
      <c r="C136" s="37" t="str">
        <f>VLOOKUP(B136,'Composição dos serv'!A:I,3,FALSE)</f>
        <v>Remoção de caixa d'agua</v>
      </c>
      <c r="D136" s="26" t="str">
        <f>VLOOKUP(B136,'Composição dos serv'!A:I,4,FALSE)</f>
        <v>unid</v>
      </c>
      <c r="E136" s="37">
        <v>1</v>
      </c>
      <c r="F136" s="37">
        <f t="shared" si="34"/>
        <v>1</v>
      </c>
      <c r="G136" s="51">
        <f>SUMIF('Composição dos serv'!A:A,B136,'Composição dos serv'!I:I)</f>
        <v>0</v>
      </c>
      <c r="H136" s="38">
        <f t="shared" si="35"/>
        <v>0</v>
      </c>
      <c r="I136" s="24"/>
      <c r="J136" s="24"/>
      <c r="K136" s="39">
        <f>SUMIF('Composição dos serv'!A:A,B136,'Composição dos serv'!K:K)</f>
        <v>0.42000000000000004</v>
      </c>
      <c r="L136" s="40">
        <f t="shared" si="28"/>
        <v>1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25.5" hidden="1" customHeight="1">
      <c r="A137" s="26" t="str">
        <f>A133</f>
        <v>A03.7</v>
      </c>
      <c r="B137" s="50" t="s">
        <v>219</v>
      </c>
      <c r="C137" s="37" t="str">
        <f>VLOOKUP(B137,'Composição dos serv'!A:I,3,FALSE)</f>
        <v>Remoção do Sistema de Para raios - área do telhado</v>
      </c>
      <c r="D137" s="26" t="str">
        <f>VLOOKUP(B137,'Composição dos serv'!A:I,4,FALSE)</f>
        <v>m²</v>
      </c>
      <c r="E137" s="37"/>
      <c r="F137" s="37">
        <f>ROUNDUP(E137/60,2)</f>
        <v>0</v>
      </c>
      <c r="G137" s="51">
        <f>SUMIF('Composição dos serv'!A:A,B137,'Composição dos serv'!I:I)</f>
        <v>0</v>
      </c>
      <c r="H137" s="38">
        <f t="shared" si="35"/>
        <v>0</v>
      </c>
      <c r="I137" s="24"/>
      <c r="J137" s="24"/>
      <c r="K137" s="39">
        <f>SUMIF('Composição dos serv'!A:A,B137,'Composição dos serv'!K:K)</f>
        <v>0.05</v>
      </c>
      <c r="L137" s="40">
        <f t="shared" si="28"/>
        <v>0</v>
      </c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25.5" customHeight="1">
      <c r="A138" s="26" t="str">
        <f>A133</f>
        <v>A03.7</v>
      </c>
      <c r="B138" s="50" t="s">
        <v>227</v>
      </c>
      <c r="C138" s="37" t="str">
        <f>VLOOKUP(B138,'Composição dos serv'!A:I,3,FALSE)</f>
        <v>Janelas</v>
      </c>
      <c r="D138" s="26" t="str">
        <f>VLOOKUP(B138,'Composição dos serv'!A:I,4,FALSE)</f>
        <v>un</v>
      </c>
      <c r="E138" s="37">
        <v>5</v>
      </c>
      <c r="F138" s="37">
        <f>ROUNDUP(E138*1.5*1.2*0.2,2)</f>
        <v>1.8</v>
      </c>
      <c r="G138" s="51">
        <f>SUMIF('Composição dos serv'!A:A,B138,'Composição dos serv'!I:I)</f>
        <v>0</v>
      </c>
      <c r="H138" s="38">
        <f t="shared" si="35"/>
        <v>0</v>
      </c>
      <c r="I138" s="24"/>
      <c r="J138" s="24"/>
      <c r="K138" s="39">
        <f>SUMIF('Composição dos serv'!A:A,B138,'Composição dos serv'!K:K)</f>
        <v>0</v>
      </c>
      <c r="L138" s="40">
        <f t="shared" si="28"/>
        <v>0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25.5" customHeight="1">
      <c r="A139" s="26" t="str">
        <f>A133</f>
        <v>A03.7</v>
      </c>
      <c r="B139" s="50" t="s">
        <v>234</v>
      </c>
      <c r="C139" s="37" t="str">
        <f>VLOOKUP(B139,'Composição dos serv'!A:I,3,FALSE)</f>
        <v>Portas</v>
      </c>
      <c r="D139" s="26" t="str">
        <f>VLOOKUP(B139,'Composição dos serv'!A:I,4,FALSE)</f>
        <v>un</v>
      </c>
      <c r="E139" s="37">
        <v>4</v>
      </c>
      <c r="F139" s="37">
        <f>ROUNDUP(E139*2.1*0.9*0.2,2)</f>
        <v>1.52</v>
      </c>
      <c r="G139" s="51">
        <f>SUMIF('Composição dos serv'!A:A,B139,'Composição dos serv'!I:I)</f>
        <v>0</v>
      </c>
      <c r="H139" s="38">
        <f t="shared" si="35"/>
        <v>0</v>
      </c>
      <c r="I139" s="24"/>
      <c r="J139" s="24"/>
      <c r="K139" s="39">
        <f>SUMIF('Composição dos serv'!A:A,B139,'Composição dos serv'!K:K)</f>
        <v>0</v>
      </c>
      <c r="L139" s="40">
        <f t="shared" si="28"/>
        <v>0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25.5" hidden="1" customHeight="1">
      <c r="A140" s="26" t="str">
        <f>A133</f>
        <v>A03.7</v>
      </c>
      <c r="B140" s="50" t="s">
        <v>236</v>
      </c>
      <c r="C140" s="37" t="str">
        <f>VLOOKUP(B140,'Composição dos serv'!A:I,3,FALSE)</f>
        <v>Guarda corpo de metal</v>
      </c>
      <c r="D140" s="26" t="str">
        <f>VLOOKUP(B140,'Composição dos serv'!A:I,4,FALSE)</f>
        <v>m</v>
      </c>
      <c r="E140" s="37"/>
      <c r="F140" s="37">
        <f>ROUNDUP(E140*1.7*0.05,2)</f>
        <v>0</v>
      </c>
      <c r="G140" s="51">
        <f>SUMIF('Composição dos serv'!A:A,B140,'Composição dos serv'!I:I)</f>
        <v>0</v>
      </c>
      <c r="H140" s="38">
        <f t="shared" si="35"/>
        <v>0</v>
      </c>
      <c r="I140" s="24"/>
      <c r="J140" s="24"/>
      <c r="K140" s="39">
        <f>SUMIF('Composição dos serv'!A:A,B140,'Composição dos serv'!K:K)</f>
        <v>0</v>
      </c>
      <c r="L140" s="40">
        <f t="shared" si="28"/>
        <v>0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25.5" customHeight="1">
      <c r="A141" s="33" t="str">
        <f>CONCATENATE(A107,".8")</f>
        <v>A03.8</v>
      </c>
      <c r="B141" s="33" t="s">
        <v>240</v>
      </c>
      <c r="C141" s="48" t="str">
        <f>VLOOKUP(B141,'Composição dos serv'!A:I,3,FALSE)</f>
        <v>ENTULHO</v>
      </c>
      <c r="D141" s="48"/>
      <c r="E141" s="48"/>
      <c r="F141" s="48"/>
      <c r="G141" s="48"/>
      <c r="H141" s="48"/>
      <c r="I141" s="24"/>
      <c r="J141" s="24"/>
      <c r="K141" s="39">
        <f>SUMIF('Composição dos serv'!A:A,B141,'Composição dos serv'!K:K)</f>
        <v>0</v>
      </c>
      <c r="L141" s="40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25.5" hidden="1" customHeight="1">
      <c r="A142" s="26" t="str">
        <f>A141</f>
        <v>A03.8</v>
      </c>
      <c r="B142" s="50" t="s">
        <v>242</v>
      </c>
      <c r="C142" s="49" t="str">
        <f>VLOOKUP(B142,'Composição dos serv'!A:I,3,FALSE)</f>
        <v>Transporte e espalhamento Manual do entulho a ser reutilizado</v>
      </c>
      <c r="D142" s="50" t="s">
        <v>291</v>
      </c>
      <c r="E142" s="49"/>
      <c r="F142" s="52">
        <f>IF(E142=1,ROUNDUP((IF(E110&lt;&gt;"",F110,0)+IF(E111&lt;&gt;"",F111,0)+IF(E113&lt;&gt;"",F113,0)+IF(E114&lt;&gt;"",F114*0.34,0)+IF(E117&lt;&gt;"",F117*0.43,0)+IF(E120&lt;&gt;"",F120*0.8,0)+IF(E123&lt;&gt;"",F123*(0.78),0)+IF(E127&lt;&gt;"",F127*0.98,0)+IF(E129&lt;&gt;"",F129*0.91,0)+IF(E130&lt;&gt;"",F130*0.26,0)+IF(E131&lt;&gt;"",F131*0.24,0)+IF(E132&lt;&gt;"",F132,0)),2),0)</f>
        <v>0</v>
      </c>
      <c r="G142" s="51">
        <f>SUMIF('Composição dos serv'!A:A,B142,'Composição dos serv'!I:I)</f>
        <v>0</v>
      </c>
      <c r="H142" s="51">
        <f t="shared" ref="H142:H143" si="36">F142*G142</f>
        <v>0</v>
      </c>
      <c r="I142" s="24"/>
      <c r="J142" s="24"/>
      <c r="K142" s="39">
        <f>SUMIF('Composição dos serv'!A:A,B142,'Composição dos serv'!K:K)</f>
        <v>0.15000000000000002</v>
      </c>
      <c r="L142" s="40">
        <f t="shared" ref="L142:L145" si="37">ROUNDUP(K142*F142,0)</f>
        <v>0</v>
      </c>
      <c r="M142" s="45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25.5" hidden="1" customHeight="1">
      <c r="A143" s="26" t="str">
        <f>A141</f>
        <v>A03.8</v>
      </c>
      <c r="B143" s="50" t="s">
        <v>246</v>
      </c>
      <c r="C143" s="49" t="str">
        <f>VLOOKUP(B143,'Composição dos serv'!A:I,3,FALSE)</f>
        <v>Remoção e Transporte Mecanizado do entulho a ser reutilizado</v>
      </c>
      <c r="D143" s="50" t="s">
        <v>291</v>
      </c>
      <c r="E143" s="49"/>
      <c r="F143" s="52">
        <f>IF(E143=1,SUM(F110:F140)-H147,0)</f>
        <v>0</v>
      </c>
      <c r="G143" s="51">
        <f>SUMIF('Composição dos serv'!A:A,B143,'Composição dos serv'!I:I)</f>
        <v>0</v>
      </c>
      <c r="H143" s="51">
        <f t="shared" si="36"/>
        <v>0</v>
      </c>
      <c r="I143" s="24"/>
      <c r="J143" s="24"/>
      <c r="K143" s="39">
        <f>SUMIF('Composição dos serv'!A:A,B143,'Composição dos serv'!K:K)</f>
        <v>0.02</v>
      </c>
      <c r="L143" s="40">
        <f t="shared" si="37"/>
        <v>0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25.5" customHeight="1">
      <c r="A144" s="26" t="str">
        <f>A141</f>
        <v>A03.8</v>
      </c>
      <c r="B144" s="50" t="s">
        <v>252</v>
      </c>
      <c r="C144" s="49" t="str">
        <f>VLOOKUP(B144,'Composição dos serv'!A:I,3,FALSE)</f>
        <v>Remoção do entulho com caçamba</v>
      </c>
      <c r="D144" s="50" t="s">
        <v>291</v>
      </c>
      <c r="E144" s="49">
        <v>1</v>
      </c>
      <c r="F144" s="52">
        <f>IF(E144=1,SUM(F110:F140),0)</f>
        <v>189.38000000000005</v>
      </c>
      <c r="G144" s="51">
        <f>SUMIF('Composição dos serv'!A:A,B144,'Composição dos serv'!I:I)</f>
        <v>0</v>
      </c>
      <c r="H144" s="51">
        <f>IF(E144&gt;1,"OPÇÃO ERRADA",F144*G144)+IF(G147=1,H147*G144,0)</f>
        <v>0</v>
      </c>
      <c r="I144" s="24"/>
      <c r="J144" s="24"/>
      <c r="K144" s="39">
        <f>SUMIF('Composição dos serv'!A:A,B144,'Composição dos serv'!K:K)</f>
        <v>0.02</v>
      </c>
      <c r="L144" s="40">
        <f t="shared" si="37"/>
        <v>4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25.5" hidden="1" customHeight="1">
      <c r="A145" s="26" t="str">
        <f>A141</f>
        <v>A03.8</v>
      </c>
      <c r="B145" s="50" t="s">
        <v>256</v>
      </c>
      <c r="C145" s="49" t="str">
        <f>VLOOKUP(B145,'Composição dos serv'!A:I,3,FALSE)</f>
        <v>Remoção e Transporte Mecanizado do entulho para bota fora</v>
      </c>
      <c r="D145" s="50" t="s">
        <v>291</v>
      </c>
      <c r="E145" s="49"/>
      <c r="F145" s="52">
        <f>IF(E145=1,SUM(F110:F140),0)</f>
        <v>0</v>
      </c>
      <c r="G145" s="51">
        <f>SUMIF('Composição dos serv'!A:A,B145,'Composição dos serv'!I:I)</f>
        <v>0</v>
      </c>
      <c r="H145" s="51">
        <f>IF(E145&gt;1,"OPÇÃO ERRADA",F145*G145)+IF(G147=2,H147*G145,0)</f>
        <v>0</v>
      </c>
      <c r="I145" s="24"/>
      <c r="J145" s="24"/>
      <c r="K145" s="39">
        <f>SUMIF('Composição dos serv'!A:A,B145,'Composição dos serv'!K:K)</f>
        <v>7.9999999999999988E-2</v>
      </c>
      <c r="L145" s="40">
        <f t="shared" si="37"/>
        <v>0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25.5" customHeight="1">
      <c r="A146" s="26" t="str">
        <f>A141</f>
        <v>A03.8</v>
      </c>
      <c r="B146" s="50" t="s">
        <v>264</v>
      </c>
      <c r="C146" s="49" t="str">
        <f>VLOOKUP(B146,'Composição dos serv'!A:I,3,FALSE)</f>
        <v>Remoção de telhas em cimento amianto</v>
      </c>
      <c r="D146" s="26" t="str">
        <f>VLOOKUP(B146,'Composição dos serv'!A:I,4,FALSE)</f>
        <v>m²</v>
      </c>
      <c r="E146" s="49">
        <f>SUM(E118:E119)</f>
        <v>140</v>
      </c>
      <c r="F146" s="52"/>
      <c r="G146" s="51">
        <f>SUMIF('Composição dos serv'!A:A,B146,'Composição dos serv'!I:I)</f>
        <v>0</v>
      </c>
      <c r="H146" s="51">
        <f>G146*E146</f>
        <v>0</v>
      </c>
      <c r="I146" s="24"/>
      <c r="J146" s="24"/>
      <c r="K146" s="39"/>
      <c r="L146" s="40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25.5" customHeight="1">
      <c r="A147" s="53"/>
      <c r="B147" s="53"/>
      <c r="C147" s="37" t="str">
        <f>IF(E144&lt;&gt;1,IF(E145&lt;&gt;1,IF(H147&lt;&gt;0,"Há Material não reutilizavel qual a destinação para ele?",""),""),"")</f>
        <v/>
      </c>
      <c r="D147" s="168" t="str">
        <f>IF(E144&lt;&gt;1,IF(E145&lt;&gt;1,IF(H147&lt;&gt;0,"Caçamba = 1; Aterro = 2",""),""),"")</f>
        <v/>
      </c>
      <c r="E147" s="169"/>
      <c r="F147" s="170"/>
      <c r="G147" s="37"/>
      <c r="H147" s="54">
        <f>IF(E144=1,0,IF(E145=1,0,ROUNDUP((IF(E114&lt;&gt;"",F114*0.66,0)+IF(E117&lt;&gt;"",F117*0.57,0)+IF(E119&lt;&gt;"",F119,0)+IF(E120&lt;&gt;"",F120*0.2,0)+IF(E121&lt;&gt;"",F121,0)+IF(E123&lt;&gt;"",F123*0.22,0)+IF(E124&lt;&gt;"",F124,0)+IF(E125&lt;&gt;"",F125,0)+IF(E127&lt;&gt;"",F127*0.02,0)+IF(E129&lt;&gt;"",F129*0.09,0)+IF(E130&lt;&gt;"",F130*0.74,0)+IF(E131&lt;&gt;"",F131*(1-0.24),0)+IF(E134&lt;&gt;"",F134,0)+IF(E135&lt;&gt;"",F135,0)+IF(E136&lt;&gt;"",F136,0)+IF(E137&lt;&gt;"",F137,0)+IF(E138&lt;&gt;"",F138,0)+IF(E139&lt;&gt;"",F139,0)+IF(E140&lt;&gt;"",F140,0)+IF(E118&lt;&gt;"",F118,0)+IF(E116&lt;&gt;"",F116,0)),2)))</f>
        <v>0</v>
      </c>
      <c r="I147" s="24"/>
      <c r="J147" s="24"/>
      <c r="K147" s="39"/>
      <c r="L147" s="40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25.5" hidden="1" customHeight="1">
      <c r="I148" s="24"/>
      <c r="J148" s="24"/>
      <c r="K148" s="39">
        <f>SUMIF('Composição dos serv'!A:A,'PESM Itutinga Piloes pt1'!B148,'Composição dos serv'!K:K)</f>
        <v>0</v>
      </c>
      <c r="L148" s="40">
        <f>ROUNDUP(K148*E148,0)</f>
        <v>0</v>
      </c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25.5" customHeight="1">
      <c r="A149" s="62" t="str">
        <f>A107</f>
        <v>A03</v>
      </c>
      <c r="B149" s="191" t="str">
        <f>C107</f>
        <v>EDIFICAÇÃO 3 - Gleba A03</v>
      </c>
      <c r="C149" s="169"/>
      <c r="D149" s="192" t="s">
        <v>280</v>
      </c>
      <c r="E149" s="169"/>
      <c r="F149" s="169"/>
      <c r="G149" s="64">
        <f>SUM(H110:H146)</f>
        <v>0</v>
      </c>
      <c r="H149" s="65"/>
      <c r="I149" s="24"/>
      <c r="J149" s="24"/>
      <c r="K149" s="39">
        <f>IF(SUM(L142:L145)&gt;SUM(L110:L140),SUM(L142:L145),SUM(L110:L140))</f>
        <v>54</v>
      </c>
      <c r="L149" s="40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25.5" customHeight="1">
      <c r="A150" s="66"/>
      <c r="B150" s="53"/>
      <c r="D150" s="53"/>
      <c r="G150" s="67"/>
      <c r="H150" s="67"/>
      <c r="I150" s="24"/>
      <c r="J150" s="24"/>
      <c r="K150" s="39">
        <f>SUMIF('Composição dos serv'!A:A,'PESM Itutinga Piloes pt1'!B150,'Composição dos serv'!K:K)</f>
        <v>0</v>
      </c>
      <c r="L150" s="40">
        <f t="shared" ref="L150:L152" si="38">ROUNDUP(K150*E150,0)</f>
        <v>0</v>
      </c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25.5" customHeight="1">
      <c r="A151" s="68" t="s">
        <v>296</v>
      </c>
      <c r="B151" s="68">
        <v>2</v>
      </c>
      <c r="C151" s="69" t="s">
        <v>297</v>
      </c>
      <c r="D151" s="69"/>
      <c r="E151" s="69"/>
      <c r="F151" s="69"/>
      <c r="G151" s="69"/>
      <c r="H151" s="69"/>
      <c r="I151" s="24"/>
      <c r="J151" s="24"/>
      <c r="K151" s="39">
        <f>SUMIF('Composição dos serv'!A:A,'PESM Itutinga Piloes pt1'!B151,'Composição dos serv'!K:K)</f>
        <v>0</v>
      </c>
      <c r="L151" s="40">
        <f t="shared" si="38"/>
        <v>0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25.5" hidden="1" customHeight="1">
      <c r="A152" s="26"/>
      <c r="B152" s="66"/>
      <c r="C152" s="66"/>
      <c r="D152" s="66"/>
      <c r="E152" s="66"/>
      <c r="F152" s="66"/>
      <c r="G152" s="66"/>
      <c r="H152" s="66"/>
      <c r="I152" s="24"/>
      <c r="J152" s="24"/>
      <c r="K152" s="39">
        <f>SUMIF('Composição dos serv'!A:A,'PESM Itutinga Piloes pt1'!B152,'Composição dos serv'!K:K)</f>
        <v>0</v>
      </c>
      <c r="L152" s="40">
        <f t="shared" si="38"/>
        <v>0</v>
      </c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25.5" customHeight="1">
      <c r="A153" s="33" t="str">
        <f>CONCATENATE(A151,".1")</f>
        <v>A4.1</v>
      </c>
      <c r="B153" s="33" t="s">
        <v>67</v>
      </c>
      <c r="C153" s="48" t="str">
        <f>VLOOKUP(B153,'Composição dos serv'!A:I,3,FALSE)</f>
        <v>DEMOLIÇÃO DE CALÇADAS E/OU CAMINHOS</v>
      </c>
      <c r="D153" s="48"/>
      <c r="E153" s="48"/>
      <c r="F153" s="48"/>
      <c r="G153" s="48"/>
      <c r="H153" s="48"/>
      <c r="I153" s="24"/>
      <c r="J153" s="24"/>
      <c r="K153" s="31"/>
      <c r="L153" s="32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25.5" customHeight="1">
      <c r="A154" s="26" t="str">
        <f>A153</f>
        <v>A4.1</v>
      </c>
      <c r="B154" s="26" t="s">
        <v>69</v>
      </c>
      <c r="C154" s="49" t="str">
        <f>VLOOKUP(B154,'Composição dos serv'!A:I,3,FALSE)</f>
        <v>Demolição de calçada ou caminhos</v>
      </c>
      <c r="D154" s="50" t="str">
        <f>VLOOKUP(B154,'Composição dos serv'!A:I,4,FALSE)</f>
        <v>m²</v>
      </c>
      <c r="E154" s="49">
        <v>20</v>
      </c>
      <c r="F154" s="49">
        <f>ROUNDUP(E154*0.15,2)</f>
        <v>3</v>
      </c>
      <c r="G154" s="51">
        <f>SUMIF('Composição dos serv'!A:A,'PESM Itutinga Piloes pt1'!B154,'Composição dos serv'!I:I)</f>
        <v>0</v>
      </c>
      <c r="H154" s="51">
        <f t="shared" ref="H154:H155" si="39">E154*G154</f>
        <v>0</v>
      </c>
      <c r="I154" s="24"/>
      <c r="J154" s="24"/>
      <c r="K154" s="39">
        <f>SUMIF('Composição dos serv'!A:A,B154,'Composição dos serv'!K:K)</f>
        <v>0.12</v>
      </c>
      <c r="L154" s="40">
        <f t="shared" ref="L154:L184" si="40">ROUNDUP(K154*E154,0)</f>
        <v>3</v>
      </c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25.5" hidden="1" customHeight="1">
      <c r="A155" s="26" t="str">
        <f>A153</f>
        <v>A4.1</v>
      </c>
      <c r="B155" s="26" t="s">
        <v>75</v>
      </c>
      <c r="C155" s="37" t="str">
        <f>VLOOKUP(B155,'Composição dos serv'!A:I,3,FALSE)</f>
        <v>Demolição de via Asfaltada, em paralelepípedo ou intertravados</v>
      </c>
      <c r="D155" s="26" t="str">
        <f>VLOOKUP(B155,'Composição dos serv'!A:I,4,FALSE)</f>
        <v>m²</v>
      </c>
      <c r="E155" s="37"/>
      <c r="F155" s="37">
        <f>ROUNDUP(E155*0.2,2)</f>
        <v>0</v>
      </c>
      <c r="G155" s="38">
        <f>SUMIF('Composição dos serv'!A:A,'PESM Itutinga Piloes pt1'!B155,'Composição dos serv'!I:I)</f>
        <v>0</v>
      </c>
      <c r="H155" s="38">
        <f t="shared" si="39"/>
        <v>0</v>
      </c>
      <c r="I155" s="24"/>
      <c r="J155" s="24"/>
      <c r="K155" s="39">
        <f>SUMIF('Composição dos serv'!A:A,B155,'Composição dos serv'!K:K)</f>
        <v>0.06</v>
      </c>
      <c r="L155" s="40">
        <f t="shared" si="40"/>
        <v>0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25.5" customHeight="1">
      <c r="A156" s="33" t="str">
        <f>CONCATENATE(A151,".2")</f>
        <v>A4.2</v>
      </c>
      <c r="B156" s="33" t="s">
        <v>85</v>
      </c>
      <c r="C156" s="34" t="str">
        <f>VLOOKUP(B156,'Composição dos serv'!A:I,3,FALSE)</f>
        <v>DEMOLIÇÃO DE MUROS E CERCAS</v>
      </c>
      <c r="D156" s="35"/>
      <c r="E156" s="35"/>
      <c r="F156" s="35"/>
      <c r="G156" s="35"/>
      <c r="H156" s="36"/>
      <c r="I156" s="24"/>
      <c r="J156" s="24"/>
      <c r="K156" s="39">
        <f>SUMIF('Composição dos serv'!A:A,B156,'Composição dos serv'!K:K)</f>
        <v>0</v>
      </c>
      <c r="L156" s="40">
        <f t="shared" si="40"/>
        <v>0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25.5" hidden="1" customHeight="1">
      <c r="A157" s="26" t="str">
        <f>A156</f>
        <v>A4.2</v>
      </c>
      <c r="B157" s="26" t="s">
        <v>87</v>
      </c>
      <c r="C157" s="37" t="str">
        <f>VLOOKUP(B157,'Composição dos serv'!A:I,3,FALSE)</f>
        <v>Demolição de muro em alvenaria ou alambrados</v>
      </c>
      <c r="D157" s="26" t="str">
        <f>VLOOKUP(B157,'Composição dos serv'!A:I,4,FALSE)</f>
        <v>m</v>
      </c>
      <c r="E157" s="37"/>
      <c r="F157" s="37">
        <f>ROUNDUP(E157*0.2*2.4,2)</f>
        <v>0</v>
      </c>
      <c r="G157" s="38">
        <f>SUMIF('Composição dos serv'!A:A,'PESM Itutinga Piloes pt1'!B157,'Composição dos serv'!I:I)</f>
        <v>0</v>
      </c>
      <c r="H157" s="38">
        <f t="shared" ref="H157:H158" si="41">E157*G157</f>
        <v>0</v>
      </c>
      <c r="I157" s="24"/>
      <c r="J157" s="24"/>
      <c r="K157" s="39">
        <f>SUMIF('Composição dos serv'!A:A,B157,'Composição dos serv'!K:K)</f>
        <v>0.26</v>
      </c>
      <c r="L157" s="40">
        <f t="shared" si="40"/>
        <v>0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25.5" customHeight="1">
      <c r="A158" s="26" t="str">
        <f>A156</f>
        <v>A4.2</v>
      </c>
      <c r="B158" s="26" t="s">
        <v>93</v>
      </c>
      <c r="C158" s="37" t="str">
        <f>VLOOKUP(B158,'Composição dos serv'!A:I,3,FALSE)</f>
        <v>Demolição de Cercas</v>
      </c>
      <c r="D158" s="26" t="str">
        <f>VLOOKUP(B158,'Composição dos serv'!A:I,4,FALSE)</f>
        <v>m</v>
      </c>
      <c r="E158" s="37">
        <v>250</v>
      </c>
      <c r="F158" s="37">
        <f>ROUNDUP(E158*0.1*1.8,2)</f>
        <v>45</v>
      </c>
      <c r="G158" s="38">
        <f>SUMIF('Composição dos serv'!A:A,'PESM Itutinga Piloes pt1'!B158,'Composição dos serv'!I:I)</f>
        <v>0</v>
      </c>
      <c r="H158" s="38">
        <f t="shared" si="41"/>
        <v>0</v>
      </c>
      <c r="I158" s="24"/>
      <c r="J158" s="24"/>
      <c r="K158" s="39">
        <f>SUMIF('Composição dos serv'!A:A,B158,'Composição dos serv'!K:K)</f>
        <v>0.06</v>
      </c>
      <c r="L158" s="40">
        <f t="shared" si="40"/>
        <v>15</v>
      </c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25.5" customHeight="1">
      <c r="A159" s="33" t="str">
        <f>CONCATENATE(A151,".3")</f>
        <v>A4.3</v>
      </c>
      <c r="B159" s="33" t="s">
        <v>99</v>
      </c>
      <c r="C159" s="48" t="str">
        <f>VLOOKUP(B159,'Composição dos serv'!A:I,3,FALSE)</f>
        <v>COBERTURA</v>
      </c>
      <c r="D159" s="48"/>
      <c r="E159" s="48"/>
      <c r="F159" s="48"/>
      <c r="G159" s="48"/>
      <c r="H159" s="48"/>
      <c r="I159" s="24"/>
      <c r="J159" s="24"/>
      <c r="K159" s="39">
        <f>SUMIF('Composição dos serv'!A:A,B159,'Composição dos serv'!K:K)</f>
        <v>0</v>
      </c>
      <c r="L159" s="40">
        <f t="shared" si="40"/>
        <v>0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25.5" hidden="1" customHeight="1">
      <c r="A160" s="26" t="str">
        <f t="shared" ref="A160:A165" si="42">A159</f>
        <v>A4.3</v>
      </c>
      <c r="B160" s="26" t="s">
        <v>101</v>
      </c>
      <c r="C160" s="37" t="str">
        <f>VLOOKUP(B160,'Composição dos serv'!A:I,3,FALSE)</f>
        <v>Retirada de Estrutura de madeira sem telhas</v>
      </c>
      <c r="D160" s="26" t="str">
        <f>VLOOKUP(B160,'Composição dos serv'!A:I,4,FALSE)</f>
        <v>m²</v>
      </c>
      <c r="E160" s="37"/>
      <c r="F160" s="37">
        <f>ROUNDUP(E160*0.2,2)</f>
        <v>0</v>
      </c>
      <c r="G160" s="38">
        <f>SUMIF('Composição dos serv'!A:A,'PESM Itutinga Piloes pt1'!B160,'Composição dos serv'!I:I)</f>
        <v>0</v>
      </c>
      <c r="H160" s="38">
        <f t="shared" ref="H160:H165" si="43">E160*G160</f>
        <v>0</v>
      </c>
      <c r="I160" s="24"/>
      <c r="J160" s="24"/>
      <c r="K160" s="39">
        <f>SUMIF('Composição dos serv'!A:A,B160,'Composição dos serv'!K:K)</f>
        <v>0.03</v>
      </c>
      <c r="L160" s="40">
        <f t="shared" si="40"/>
        <v>0</v>
      </c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25.5" customHeight="1">
      <c r="A161" s="26" t="str">
        <f t="shared" si="42"/>
        <v>A4.3</v>
      </c>
      <c r="B161" s="26" t="s">
        <v>105</v>
      </c>
      <c r="C161" s="37" t="str">
        <f>VLOOKUP(B161,'Composição dos serv'!A:I,3,FALSE)</f>
        <v>Retirada de Telhas de Barro com Estrutura em madeira (tesouras, treliças,...)</v>
      </c>
      <c r="D161" s="26" t="str">
        <f>VLOOKUP(B161,'Composição dos serv'!A:I,4,FALSE)</f>
        <v>m²</v>
      </c>
      <c r="E161" s="37">
        <v>245</v>
      </c>
      <c r="F161" s="37">
        <f>ROUNDUP(E161*0.08+E161*0.2,2)</f>
        <v>68.599999999999994</v>
      </c>
      <c r="G161" s="38">
        <f>SUMIF('Composição dos serv'!A:A,'PESM Itutinga Piloes pt1'!B161,'Composição dos serv'!I:I)</f>
        <v>0</v>
      </c>
      <c r="H161" s="38">
        <f t="shared" si="43"/>
        <v>0</v>
      </c>
      <c r="I161" s="24"/>
      <c r="J161" s="24"/>
      <c r="K161" s="39">
        <f>SUMIF('Composição dos serv'!A:A,B161,'Composição dos serv'!K:K)</f>
        <v>0.06</v>
      </c>
      <c r="L161" s="40">
        <f t="shared" si="40"/>
        <v>15</v>
      </c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25.5" hidden="1" customHeight="1">
      <c r="A162" s="26" t="str">
        <f t="shared" si="42"/>
        <v>A4.3</v>
      </c>
      <c r="B162" s="26" t="s">
        <v>111</v>
      </c>
      <c r="C162" s="37" t="str">
        <f>VLOOKUP(B162,'Composição dos serv'!A:I,3,FALSE)</f>
        <v>Retirada de Telhas de amianto Sem Estrutura</v>
      </c>
      <c r="D162" s="26" t="str">
        <f>VLOOKUP(B162,'Composição dos serv'!A:I,4,FALSE)</f>
        <v>m²</v>
      </c>
      <c r="E162" s="37"/>
      <c r="F162" s="37"/>
      <c r="G162" s="38">
        <f>SUMIF('Composição dos serv'!A:A,'PESM Itutinga Piloes pt1'!B162,'Composição dos serv'!I:I)</f>
        <v>0</v>
      </c>
      <c r="H162" s="38">
        <f t="shared" si="43"/>
        <v>0</v>
      </c>
      <c r="I162" s="24"/>
      <c r="J162" s="24"/>
      <c r="K162" s="39">
        <f>SUMIF('Composição dos serv'!A:A,B162,'Composição dos serv'!K:K)</f>
        <v>0.02</v>
      </c>
      <c r="L162" s="40">
        <f t="shared" si="40"/>
        <v>0</v>
      </c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25.5" customHeight="1">
      <c r="A163" s="26" t="str">
        <f t="shared" si="42"/>
        <v>A4.3</v>
      </c>
      <c r="B163" s="26" t="s">
        <v>117</v>
      </c>
      <c r="C163" s="37" t="str">
        <f>VLOOKUP(B163,'Composição dos serv'!A:I,3,FALSE)</f>
        <v>Retirada de Telhas de amianto com Estrutura em madeira (tesouras, treliças,...)</v>
      </c>
      <c r="D163" s="26" t="str">
        <f>VLOOKUP(B163,'Composição dos serv'!A:I,4,FALSE)</f>
        <v>m²</v>
      </c>
      <c r="E163" s="37">
        <v>155</v>
      </c>
      <c r="F163" s="37">
        <f>ROUNDUP(E163*0.1,2)</f>
        <v>15.5</v>
      </c>
      <c r="G163" s="38">
        <f>SUMIF('Composição dos serv'!A:A,'PESM Itutinga Piloes pt1'!B163,'Composição dos serv'!I:I)</f>
        <v>0</v>
      </c>
      <c r="H163" s="38">
        <f t="shared" si="43"/>
        <v>0</v>
      </c>
      <c r="I163" s="24"/>
      <c r="J163" s="24"/>
      <c r="K163" s="39">
        <f>SUMIF('Composição dos serv'!A:A,B163,'Composição dos serv'!K:K)</f>
        <v>0.04</v>
      </c>
      <c r="L163" s="40">
        <f t="shared" si="40"/>
        <v>7</v>
      </c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25.5" customHeight="1">
      <c r="A164" s="26" t="str">
        <f t="shared" si="42"/>
        <v>A4.3</v>
      </c>
      <c r="B164" s="26" t="s">
        <v>121</v>
      </c>
      <c r="C164" s="37" t="str">
        <f>VLOOKUP(B164,'Composição dos serv'!A:I,3,FALSE)</f>
        <v>Retirada de Laje em concreto</v>
      </c>
      <c r="D164" s="26" t="str">
        <f>VLOOKUP(B164,'Composição dos serv'!A:I,4,FALSE)</f>
        <v>m²</v>
      </c>
      <c r="E164" s="37">
        <v>42</v>
      </c>
      <c r="F164" s="37">
        <f>ROUNDUP(E164*0.12,2)</f>
        <v>5.04</v>
      </c>
      <c r="G164" s="38">
        <f>SUMIF('Composição dos serv'!A:A,'PESM Itutinga Piloes pt1'!B164,'Composição dos serv'!I:I)</f>
        <v>0</v>
      </c>
      <c r="H164" s="38">
        <f t="shared" si="43"/>
        <v>0</v>
      </c>
      <c r="I164" s="24"/>
      <c r="J164" s="24"/>
      <c r="K164" s="39">
        <f>SUMIF('Composição dos serv'!A:A,B164,'Composição dos serv'!K:K)</f>
        <v>0.09</v>
      </c>
      <c r="L164" s="40">
        <f t="shared" si="40"/>
        <v>4</v>
      </c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25.5" customHeight="1">
      <c r="A165" s="26" t="str">
        <f t="shared" si="42"/>
        <v>A4.3</v>
      </c>
      <c r="B165" s="26" t="s">
        <v>129</v>
      </c>
      <c r="C165" s="37" t="str">
        <f>VLOOKUP(B165,'Composição dos serv'!A:I,3,FALSE)</f>
        <v>Retirada de Forros qualquer com sistema de fixação</v>
      </c>
      <c r="D165" s="26" t="str">
        <f>VLOOKUP(B165,'Composição dos serv'!A:I,4,FALSE)</f>
        <v>m²</v>
      </c>
      <c r="E165" s="37">
        <v>240</v>
      </c>
      <c r="F165" s="37">
        <f>ROUNDUP(E165*0.1,2)</f>
        <v>24</v>
      </c>
      <c r="G165" s="38">
        <f>SUMIF('Composição dos serv'!A:A,'PESM Itutinga Piloes pt1'!B165,'Composição dos serv'!I:I)</f>
        <v>0</v>
      </c>
      <c r="H165" s="38">
        <f t="shared" si="43"/>
        <v>0</v>
      </c>
      <c r="I165" s="24"/>
      <c r="J165" s="24"/>
      <c r="K165" s="39">
        <f>SUMIF('Composição dos serv'!A:A,B165,'Composição dos serv'!K:K)</f>
        <v>0.04</v>
      </c>
      <c r="L165" s="40">
        <f t="shared" si="40"/>
        <v>10</v>
      </c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25.5" customHeight="1">
      <c r="A166" s="33" t="str">
        <f>CONCATENATE(A151,".4")</f>
        <v>A4.4</v>
      </c>
      <c r="B166" s="33" t="s">
        <v>133</v>
      </c>
      <c r="C166" s="34" t="str">
        <f>VLOOKUP(B166,'Composição dos serv'!A:I,3,FALSE)</f>
        <v>PAREDES</v>
      </c>
      <c r="D166" s="35"/>
      <c r="E166" s="35"/>
      <c r="F166" s="35"/>
      <c r="G166" s="35"/>
      <c r="H166" s="36"/>
      <c r="I166" s="24"/>
      <c r="J166" s="24"/>
      <c r="K166" s="39">
        <f>SUMIF('Composição dos serv'!A:A,B166,'Composição dos serv'!K:K)</f>
        <v>0</v>
      </c>
      <c r="L166" s="40">
        <f t="shared" si="40"/>
        <v>0</v>
      </c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25.5" customHeight="1">
      <c r="A167" s="26" t="str">
        <f>A166</f>
        <v>A4.4</v>
      </c>
      <c r="B167" s="26" t="s">
        <v>135</v>
      </c>
      <c r="C167" s="37" t="str">
        <f>VLOOKUP(B167,'Composição dos serv'!A:I,3,FALSE)</f>
        <v>Parede em Alvenaria - usar área construida</v>
      </c>
      <c r="D167" s="26" t="str">
        <f>VLOOKUP(B167,'Composição dos serv'!A:I,4,FALSE)</f>
        <v>m²</v>
      </c>
      <c r="E167" s="49">
        <v>100</v>
      </c>
      <c r="F167" s="37">
        <f>ROUNDUP(E167*0.8,2)</f>
        <v>80</v>
      </c>
      <c r="G167" s="38">
        <f>SUMIF('Composição dos serv'!A:A,B167,'Composição dos serv'!I:I)</f>
        <v>0</v>
      </c>
      <c r="H167" s="38">
        <f t="shared" ref="H167:H169" si="44">E167*G167</f>
        <v>0</v>
      </c>
      <c r="I167" s="24"/>
      <c r="J167" s="24"/>
      <c r="K167" s="39">
        <f>SUMIF('Composição dos serv'!A:A,B167,'Composição dos serv'!K:K)</f>
        <v>0.15000000000000002</v>
      </c>
      <c r="L167" s="40">
        <f t="shared" si="40"/>
        <v>15</v>
      </c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25.5" customHeight="1">
      <c r="A168" s="26" t="str">
        <f>A166</f>
        <v>A4.4</v>
      </c>
      <c r="B168" s="26" t="s">
        <v>143</v>
      </c>
      <c r="C168" s="37" t="str">
        <f>VLOOKUP(B168,'Composição dos serv'!A:I,3,FALSE)</f>
        <v>Parede em Madeirite - Chapas de madeira compensada ou aglomerada - área construída</v>
      </c>
      <c r="D168" s="26" t="str">
        <f>VLOOKUP(B168,'Composição dos serv'!A:I,4,FALSE)</f>
        <v>m²</v>
      </c>
      <c r="E168" s="37">
        <v>300</v>
      </c>
      <c r="F168" s="37">
        <f>ROUNDUP(E168*0.21,2)</f>
        <v>63</v>
      </c>
      <c r="G168" s="38">
        <f>SUMIF('Composição dos serv'!A:A,B168,'Composição dos serv'!I:I)</f>
        <v>0</v>
      </c>
      <c r="H168" s="38">
        <f t="shared" si="44"/>
        <v>0</v>
      </c>
      <c r="I168" s="24"/>
      <c r="J168" s="24"/>
      <c r="K168" s="39">
        <f>SUMIF('Composição dos serv'!A:A,B168,'Composição dos serv'!K:K)</f>
        <v>0.15000000000000002</v>
      </c>
      <c r="L168" s="40">
        <f t="shared" si="40"/>
        <v>45</v>
      </c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25.5" hidden="1" customHeight="1">
      <c r="A169" s="26" t="str">
        <f>A166</f>
        <v>A4.4</v>
      </c>
      <c r="B169" s="26" t="s">
        <v>145</v>
      </c>
      <c r="C169" s="37" t="str">
        <f>VLOOKUP(B169,'Composição dos serv'!A:I,3,FALSE)</f>
        <v>Parede em Lambril de madeira - área construída</v>
      </c>
      <c r="D169" s="26" t="str">
        <f>VLOOKUP(B169,'Composição dos serv'!A:I,4,FALSE)</f>
        <v>m²</v>
      </c>
      <c r="E169" s="37"/>
      <c r="F169" s="37">
        <f>ROUNDUP(E169*4*0.12,2)</f>
        <v>0</v>
      </c>
      <c r="G169" s="38">
        <f>SUMIF('Composição dos serv'!A:A,B169,'Composição dos serv'!I:I)</f>
        <v>0</v>
      </c>
      <c r="H169" s="38">
        <f t="shared" si="44"/>
        <v>0</v>
      </c>
      <c r="I169" s="24"/>
      <c r="J169" s="24"/>
      <c r="K169" s="39">
        <f>SUMIF('Composição dos serv'!A:A,B169,'Composição dos serv'!K:K)</f>
        <v>0.35000000000000009</v>
      </c>
      <c r="L169" s="40">
        <f t="shared" si="40"/>
        <v>0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25.5" customHeight="1">
      <c r="A170" s="33" t="str">
        <f>CONCATENATE(A151,".5")</f>
        <v>A4.5</v>
      </c>
      <c r="B170" s="33" t="s">
        <v>153</v>
      </c>
      <c r="C170" s="34" t="str">
        <f>VLOOKUP(B170,'Composição dos serv'!A:I,3,FALSE)</f>
        <v>PISO E FUNDAÇÃO</v>
      </c>
      <c r="D170" s="35"/>
      <c r="E170" s="35"/>
      <c r="F170" s="35"/>
      <c r="G170" s="35"/>
      <c r="H170" s="36"/>
      <c r="I170" s="24"/>
      <c r="J170" s="24"/>
      <c r="K170" s="39">
        <f>SUMIF('Composição dos serv'!A:A,B170,'Composição dos serv'!K:K)</f>
        <v>0</v>
      </c>
      <c r="L170" s="40">
        <f t="shared" si="40"/>
        <v>0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25.5" hidden="1" customHeight="1">
      <c r="A171" s="26" t="str">
        <f>A170</f>
        <v>A4.5</v>
      </c>
      <c r="B171" s="26" t="s">
        <v>155</v>
      </c>
      <c r="C171" s="37" t="str">
        <f>VLOOKUP(B171,'Composição dos serv'!A:I,3,FALSE)</f>
        <v>Piso da edificação com fundação</v>
      </c>
      <c r="D171" s="26" t="str">
        <f>VLOOKUP(B171,'Composição dos serv'!A:I,4,FALSE)</f>
        <v>m²</v>
      </c>
      <c r="E171" s="37"/>
      <c r="F171" s="37">
        <f>ROUNDUP(E171*0.24,2)</f>
        <v>0</v>
      </c>
      <c r="G171" s="38">
        <f>SUMIF('Composição dos serv'!A:A,B171,'Composição dos serv'!I:I)</f>
        <v>0</v>
      </c>
      <c r="H171" s="38">
        <f>E171*G171</f>
        <v>0</v>
      </c>
      <c r="I171" s="24"/>
      <c r="J171" s="24"/>
      <c r="K171" s="39">
        <f>SUMIF('Composição dos serv'!A:A,B171,'Composição dos serv'!K:K)</f>
        <v>0.17</v>
      </c>
      <c r="L171" s="40">
        <f t="shared" si="40"/>
        <v>0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25.5" customHeight="1">
      <c r="A172" s="33" t="str">
        <f>CONCATENATE(A151,".6")</f>
        <v>A4.6</v>
      </c>
      <c r="B172" s="33" t="s">
        <v>161</v>
      </c>
      <c r="C172" s="48" t="str">
        <f>VLOOKUP(B172,'Composição dos serv'!A:I,3,FALSE)</f>
        <v>ESTRUTURAS DIVERSAS</v>
      </c>
      <c r="D172" s="48"/>
      <c r="E172" s="48"/>
      <c r="F172" s="48"/>
      <c r="G172" s="48"/>
      <c r="H172" s="48"/>
      <c r="I172" s="24"/>
      <c r="J172" s="24"/>
      <c r="K172" s="39">
        <f>SUMIF('Composição dos serv'!A:A,B172,'Composição dos serv'!K:K)</f>
        <v>0</v>
      </c>
      <c r="L172" s="40">
        <f t="shared" si="40"/>
        <v>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25.5" hidden="1" customHeight="1">
      <c r="A173" s="26" t="str">
        <f>A172</f>
        <v>A4.6</v>
      </c>
      <c r="B173" s="26" t="s">
        <v>163</v>
      </c>
      <c r="C173" s="37" t="str">
        <f>VLOOKUP(B173,'Composição dos serv'!A:I,3,FALSE)</f>
        <v>Escada em concreto com corrimão</v>
      </c>
      <c r="D173" s="26" t="str">
        <f>VLOOKUP(B173,'Composição dos serv'!A:I,4,FALSE)</f>
        <v>m</v>
      </c>
      <c r="E173" s="49"/>
      <c r="F173" s="37">
        <f>ROUNDUP(E173*1.2*0.25,2)</f>
        <v>0</v>
      </c>
      <c r="G173" s="38">
        <f>SUMIF('Composição dos serv'!A:A,'PESM Itutinga Piloes pt1'!B173,'Composição dos serv'!I:I)</f>
        <v>0</v>
      </c>
      <c r="H173" s="38">
        <f t="shared" ref="H173:H176" si="45">E173*G173</f>
        <v>0</v>
      </c>
      <c r="I173" s="24"/>
      <c r="J173" s="24"/>
      <c r="K173" s="39">
        <f>SUMIF('Composição dos serv'!A:A,B173,'Composição dos serv'!K:K)</f>
        <v>0.39</v>
      </c>
      <c r="L173" s="40">
        <f t="shared" si="40"/>
        <v>0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25.5" customHeight="1">
      <c r="A174" s="26" t="str">
        <f>A172</f>
        <v>A4.6</v>
      </c>
      <c r="B174" s="26" t="s">
        <v>169</v>
      </c>
      <c r="C174" s="37" t="str">
        <f>VLOOKUP(B174,'Composição dos serv'!A:I,3,FALSE)</f>
        <v>Entrada de Energia - medidor</v>
      </c>
      <c r="D174" s="26" t="str">
        <f>VLOOKUP(B174,'Composição dos serv'!A:I,4,FALSE)</f>
        <v>un</v>
      </c>
      <c r="E174" s="37">
        <v>1</v>
      </c>
      <c r="F174" s="37">
        <f>ROUNDUP(E174*(3.2+(((3.1415*0.4^2)/4)*6)),2)</f>
        <v>3.96</v>
      </c>
      <c r="G174" s="38">
        <f>SUMIF('Composição dos serv'!A:A,'PESM Itutinga Piloes pt1'!B174,'Composição dos serv'!I:I)</f>
        <v>0</v>
      </c>
      <c r="H174" s="38">
        <f t="shared" si="45"/>
        <v>0</v>
      </c>
      <c r="I174" s="24"/>
      <c r="J174" s="24"/>
      <c r="K174" s="39">
        <f>SUMIF('Composição dos serv'!A:A,B174,'Composição dos serv'!K:K)</f>
        <v>1.7600000000000002</v>
      </c>
      <c r="L174" s="40">
        <f t="shared" si="40"/>
        <v>2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25.5" customHeight="1">
      <c r="A175" s="26" t="str">
        <f>A172</f>
        <v>A4.6</v>
      </c>
      <c r="B175" s="26" t="s">
        <v>183</v>
      </c>
      <c r="C175" s="37" t="str">
        <f>VLOOKUP(B175,'Composição dos serv'!A:I,3,FALSE)</f>
        <v>Hidrômetro com abrigo</v>
      </c>
      <c r="D175" s="26" t="str">
        <f>VLOOKUP(B175,'Composição dos serv'!A:I,4,FALSE)</f>
        <v>un</v>
      </c>
      <c r="E175" s="37">
        <v>1</v>
      </c>
      <c r="F175" s="37">
        <f>ROUNDUP(E175*(1.7+0.1),2)</f>
        <v>1.8</v>
      </c>
      <c r="G175" s="38">
        <f>SUMIF('Composição dos serv'!A:A,'PESM Itutinga Piloes pt1'!B175,'Composição dos serv'!I:I)</f>
        <v>0</v>
      </c>
      <c r="H175" s="38">
        <f t="shared" si="45"/>
        <v>0</v>
      </c>
      <c r="I175" s="24"/>
      <c r="J175" s="24"/>
      <c r="K175" s="39">
        <f>SUMIF('Composição dos serv'!A:A,B175,'Composição dos serv'!K:K)</f>
        <v>0.44000000000000006</v>
      </c>
      <c r="L175" s="40">
        <f t="shared" si="40"/>
        <v>1</v>
      </c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25.5" customHeight="1">
      <c r="A176" s="26" t="str">
        <f>A174</f>
        <v>A4.6</v>
      </c>
      <c r="B176" s="26" t="s">
        <v>191</v>
      </c>
      <c r="C176" s="37" t="str">
        <f>VLOOKUP(B176,'Composição dos serv'!A:I,3,FALSE)</f>
        <v>Aterro de Fossa com retirada de tampa</v>
      </c>
      <c r="D176" s="26" t="str">
        <f>VLOOKUP(B176,'Composição dos serv'!A:I,4,FALSE)</f>
        <v>un</v>
      </c>
      <c r="E176" s="37">
        <v>1</v>
      </c>
      <c r="F176" s="37">
        <f>ROUNDUP(E176*(0.4),2)</f>
        <v>0.4</v>
      </c>
      <c r="G176" s="38">
        <f>SUMIF('Composição dos serv'!A:A,'PESM Itutinga Piloes pt1'!B176,'Composição dos serv'!I:I)</f>
        <v>0</v>
      </c>
      <c r="H176" s="38">
        <f t="shared" si="45"/>
        <v>0</v>
      </c>
      <c r="I176" s="24"/>
      <c r="J176" s="24"/>
      <c r="K176" s="39">
        <f>SUMIF('Composição dos serv'!A:A,B176,'Composição dos serv'!K:K)</f>
        <v>0.85000000000000009</v>
      </c>
      <c r="L176" s="40">
        <f t="shared" si="40"/>
        <v>1</v>
      </c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25.5" customHeight="1">
      <c r="A177" s="33" t="str">
        <f>CONCATENATE(A151,".7")</f>
        <v>A4.7</v>
      </c>
      <c r="B177" s="33" t="s">
        <v>195</v>
      </c>
      <c r="C177" s="48" t="str">
        <f>VLOOKUP(B177,'Composição dos serv'!A:I,3,FALSE)</f>
        <v>ACABAMENTOS DIVERSOS e OUTROS</v>
      </c>
      <c r="D177" s="48"/>
      <c r="E177" s="48"/>
      <c r="F177" s="48"/>
      <c r="G177" s="48"/>
      <c r="H177" s="48"/>
      <c r="I177" s="24"/>
      <c r="J177" s="24"/>
      <c r="K177" s="39">
        <f>SUMIF('Composição dos serv'!A:A,B177,'Composição dos serv'!K:K)</f>
        <v>0</v>
      </c>
      <c r="L177" s="40">
        <f t="shared" si="40"/>
        <v>0</v>
      </c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25.5" customHeight="1">
      <c r="A178" s="26" t="str">
        <f>A177</f>
        <v>A4.7</v>
      </c>
      <c r="B178" s="50" t="s">
        <v>197</v>
      </c>
      <c r="C178" s="49" t="str">
        <f>VLOOKUP(B178,'Composição dos serv'!A:I,3,FALSE)</f>
        <v>Remoção de aparelhos sanitarios - por banheiro</v>
      </c>
      <c r="D178" s="50" t="str">
        <f>VLOOKUP(B178,'Composição dos serv'!A:I,4,FALSE)</f>
        <v>unid</v>
      </c>
      <c r="E178" s="49">
        <v>2</v>
      </c>
      <c r="F178" s="37">
        <f t="shared" ref="F178:F180" si="46">ROUNDUP(E178*1,2)</f>
        <v>2</v>
      </c>
      <c r="G178" s="51">
        <f>SUMIF('Composição dos serv'!A:A,B178,'Composição dos serv'!I:I)</f>
        <v>0</v>
      </c>
      <c r="H178" s="51">
        <f t="shared" ref="H178:H184" si="47">E178*G178</f>
        <v>0</v>
      </c>
      <c r="I178" s="24"/>
      <c r="J178" s="24"/>
      <c r="K178" s="39">
        <f>SUMIF('Composição dos serv'!A:A,B178,'Composição dos serv'!K:K)</f>
        <v>0.19</v>
      </c>
      <c r="L178" s="40">
        <f t="shared" si="40"/>
        <v>1</v>
      </c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25.5" customHeight="1">
      <c r="A179" s="26" t="str">
        <f>A177</f>
        <v>A4.7</v>
      </c>
      <c r="B179" s="50" t="s">
        <v>209</v>
      </c>
      <c r="C179" s="37" t="str">
        <f>VLOOKUP(B179,'Composição dos serv'!A:I,3,FALSE)</f>
        <v>Remoção de aparelhos sanitarios - Cozinha e Área de Serviço</v>
      </c>
      <c r="D179" s="26" t="str">
        <f>VLOOKUP(B179,'Composição dos serv'!A:I,4,FALSE)</f>
        <v>unid</v>
      </c>
      <c r="E179" s="37">
        <v>2</v>
      </c>
      <c r="F179" s="37">
        <f t="shared" si="46"/>
        <v>2</v>
      </c>
      <c r="G179" s="51">
        <f>SUMIF('Composição dos serv'!A:A,B179,'Composição dos serv'!I:I)</f>
        <v>0</v>
      </c>
      <c r="H179" s="38">
        <f t="shared" si="47"/>
        <v>0</v>
      </c>
      <c r="I179" s="24"/>
      <c r="J179" s="24"/>
      <c r="K179" s="39">
        <f>SUMIF('Composição dos serv'!A:A,B179,'Composição dos serv'!K:K)</f>
        <v>0.21</v>
      </c>
      <c r="L179" s="40">
        <f t="shared" si="40"/>
        <v>1</v>
      </c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25.5" customHeight="1">
      <c r="A180" s="26" t="str">
        <f>A177</f>
        <v>A4.7</v>
      </c>
      <c r="B180" s="50" t="s">
        <v>215</v>
      </c>
      <c r="C180" s="37" t="str">
        <f>VLOOKUP(B180,'Composição dos serv'!A:I,3,FALSE)</f>
        <v>Remoção de caixa d'agua</v>
      </c>
      <c r="D180" s="26" t="str">
        <f>VLOOKUP(B180,'Composição dos serv'!A:I,4,FALSE)</f>
        <v>unid</v>
      </c>
      <c r="E180" s="37">
        <v>1</v>
      </c>
      <c r="F180" s="37">
        <f t="shared" si="46"/>
        <v>1</v>
      </c>
      <c r="G180" s="51">
        <f>SUMIF('Composição dos serv'!A:A,B180,'Composição dos serv'!I:I)</f>
        <v>0</v>
      </c>
      <c r="H180" s="38">
        <f t="shared" si="47"/>
        <v>0</v>
      </c>
      <c r="I180" s="24"/>
      <c r="J180" s="24"/>
      <c r="K180" s="39">
        <f>SUMIF('Composição dos serv'!A:A,B180,'Composição dos serv'!K:K)</f>
        <v>0.42000000000000004</v>
      </c>
      <c r="L180" s="40">
        <f t="shared" si="40"/>
        <v>1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25.5" hidden="1" customHeight="1">
      <c r="A181" s="26" t="str">
        <f>A177</f>
        <v>A4.7</v>
      </c>
      <c r="B181" s="50" t="s">
        <v>219</v>
      </c>
      <c r="C181" s="37" t="str">
        <f>VLOOKUP(B181,'Composição dos serv'!A:I,3,FALSE)</f>
        <v>Remoção do Sistema de Para raios - área do telhado</v>
      </c>
      <c r="D181" s="26" t="str">
        <f>VLOOKUP(B181,'Composição dos serv'!A:I,4,FALSE)</f>
        <v>m²</v>
      </c>
      <c r="E181" s="37"/>
      <c r="F181" s="37">
        <f>ROUNDUP(E181/60,2)</f>
        <v>0</v>
      </c>
      <c r="G181" s="51">
        <f>SUMIF('Composição dos serv'!A:A,B181,'Composição dos serv'!I:I)</f>
        <v>0</v>
      </c>
      <c r="H181" s="38">
        <f t="shared" si="47"/>
        <v>0</v>
      </c>
      <c r="I181" s="24"/>
      <c r="J181" s="24"/>
      <c r="K181" s="39">
        <f>SUMIF('Composição dos serv'!A:A,B181,'Composição dos serv'!K:K)</f>
        <v>0.05</v>
      </c>
      <c r="L181" s="40">
        <f t="shared" si="40"/>
        <v>0</v>
      </c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25.5" customHeight="1">
      <c r="A182" s="26" t="str">
        <f>A177</f>
        <v>A4.7</v>
      </c>
      <c r="B182" s="50" t="s">
        <v>227</v>
      </c>
      <c r="C182" s="37" t="str">
        <f>VLOOKUP(B182,'Composição dos serv'!A:I,3,FALSE)</f>
        <v>Janelas</v>
      </c>
      <c r="D182" s="26" t="str">
        <f>VLOOKUP(B182,'Composição dos serv'!A:I,4,FALSE)</f>
        <v>un</v>
      </c>
      <c r="E182" s="37">
        <v>5</v>
      </c>
      <c r="F182" s="37">
        <f>ROUNDUP(E182*1.5*1.2*0.2,2)</f>
        <v>1.8</v>
      </c>
      <c r="G182" s="51">
        <f>SUMIF('Composição dos serv'!A:A,B182,'Composição dos serv'!I:I)</f>
        <v>0</v>
      </c>
      <c r="H182" s="38">
        <f t="shared" si="47"/>
        <v>0</v>
      </c>
      <c r="I182" s="24"/>
      <c r="J182" s="24"/>
      <c r="K182" s="39">
        <f>SUMIF('Composição dos serv'!A:A,B182,'Composição dos serv'!K:K)</f>
        <v>0</v>
      </c>
      <c r="L182" s="40">
        <f t="shared" si="40"/>
        <v>0</v>
      </c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25.5" customHeight="1">
      <c r="A183" s="26" t="str">
        <f>A177</f>
        <v>A4.7</v>
      </c>
      <c r="B183" s="50" t="s">
        <v>234</v>
      </c>
      <c r="C183" s="37" t="str">
        <f>VLOOKUP(B183,'Composição dos serv'!A:I,3,FALSE)</f>
        <v>Portas</v>
      </c>
      <c r="D183" s="26" t="str">
        <f>VLOOKUP(B183,'Composição dos serv'!A:I,4,FALSE)</f>
        <v>un</v>
      </c>
      <c r="E183" s="37">
        <v>4</v>
      </c>
      <c r="F183" s="37">
        <f>ROUNDUP(E183*2.1*0.9*0.2,2)</f>
        <v>1.52</v>
      </c>
      <c r="G183" s="51">
        <f>SUMIF('Composição dos serv'!A:A,B183,'Composição dos serv'!I:I)</f>
        <v>0</v>
      </c>
      <c r="H183" s="38">
        <f t="shared" si="47"/>
        <v>0</v>
      </c>
      <c r="I183" s="24"/>
      <c r="J183" s="24"/>
      <c r="K183" s="39">
        <f>SUMIF('Composição dos serv'!A:A,B183,'Composição dos serv'!K:K)</f>
        <v>0</v>
      </c>
      <c r="L183" s="40">
        <f t="shared" si="40"/>
        <v>0</v>
      </c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25.5" hidden="1" customHeight="1">
      <c r="A184" s="26" t="str">
        <f>A177</f>
        <v>A4.7</v>
      </c>
      <c r="B184" s="50" t="s">
        <v>236</v>
      </c>
      <c r="C184" s="37" t="str">
        <f>VLOOKUP(B184,'Composição dos serv'!A:I,3,FALSE)</f>
        <v>Guarda corpo de metal</v>
      </c>
      <c r="D184" s="26" t="str">
        <f>VLOOKUP(B184,'Composição dos serv'!A:I,4,FALSE)</f>
        <v>m</v>
      </c>
      <c r="E184" s="37"/>
      <c r="F184" s="37">
        <f>ROUNDUP(E184*1.7*0.05,2)</f>
        <v>0</v>
      </c>
      <c r="G184" s="51">
        <f>SUMIF('Composição dos serv'!A:A,B184,'Composição dos serv'!I:I)</f>
        <v>0</v>
      </c>
      <c r="H184" s="38">
        <f t="shared" si="47"/>
        <v>0</v>
      </c>
      <c r="I184" s="24"/>
      <c r="J184" s="24"/>
      <c r="K184" s="39">
        <f>SUMIF('Composição dos serv'!A:A,B184,'Composição dos serv'!K:K)</f>
        <v>0</v>
      </c>
      <c r="L184" s="40">
        <f t="shared" si="40"/>
        <v>0</v>
      </c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25.5" customHeight="1">
      <c r="A185" s="33" t="str">
        <f>CONCATENATE(A151,".8")</f>
        <v>A4.8</v>
      </c>
      <c r="B185" s="33" t="s">
        <v>240</v>
      </c>
      <c r="C185" s="48" t="str">
        <f>VLOOKUP(B185,'Composição dos serv'!A:I,3,FALSE)</f>
        <v>ENTULHO</v>
      </c>
      <c r="D185" s="48"/>
      <c r="E185" s="48"/>
      <c r="F185" s="48"/>
      <c r="G185" s="48"/>
      <c r="H185" s="48"/>
      <c r="I185" s="24"/>
      <c r="J185" s="24"/>
      <c r="K185" s="39">
        <f>SUMIF('Composição dos serv'!A:A,B185,'Composição dos serv'!K:K)</f>
        <v>0</v>
      </c>
      <c r="L185" s="40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25.5" hidden="1" customHeight="1">
      <c r="A186" s="26" t="str">
        <f>A185</f>
        <v>A4.8</v>
      </c>
      <c r="B186" s="50" t="s">
        <v>242</v>
      </c>
      <c r="C186" s="49" t="str">
        <f>VLOOKUP(B186,'Composição dos serv'!A:I,3,FALSE)</f>
        <v>Transporte e espalhamento Manual do entulho a ser reutilizado</v>
      </c>
      <c r="D186" s="50" t="s">
        <v>291</v>
      </c>
      <c r="E186" s="49"/>
      <c r="F186" s="52">
        <f>IF(E186=1,ROUNDUP((IF(E154&lt;&gt;"",F154,0)+IF(E155&lt;&gt;"",F155,0)+IF(E157&lt;&gt;"",F157,0)+IF(E158&lt;&gt;"",F158*0.34,0)+IF(E161&lt;&gt;"",F161*0.43,0)+IF(E164&lt;&gt;"",F164*0.8,0)+IF(E167&lt;&gt;"",F167*(0.78),0)+IF(E171&lt;&gt;"",F171*0.98,0)+IF(E173&lt;&gt;"",F173*0.91,0)+IF(E174&lt;&gt;"",F174*0.26,0)+IF(E175&lt;&gt;"",F175*0.24,0)+IF(E176&lt;&gt;"",F176,0)),2),0)</f>
        <v>0</v>
      </c>
      <c r="G186" s="51">
        <f>SUMIF('Composição dos serv'!A:A,B186,'Composição dos serv'!I:I)</f>
        <v>0</v>
      </c>
      <c r="H186" s="51">
        <f t="shared" ref="H186:H187" si="48">F186*G186</f>
        <v>0</v>
      </c>
      <c r="I186" s="24"/>
      <c r="J186" s="24"/>
      <c r="K186" s="39">
        <f>SUMIF('Composição dos serv'!A:A,B186,'Composição dos serv'!K:K)</f>
        <v>0.15000000000000002</v>
      </c>
      <c r="L186" s="40">
        <f t="shared" ref="L186:L189" si="49">ROUNDUP(K186*F186,0)</f>
        <v>0</v>
      </c>
      <c r="M186" s="45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25.5" hidden="1" customHeight="1">
      <c r="A187" s="26" t="str">
        <f>A185</f>
        <v>A4.8</v>
      </c>
      <c r="B187" s="50" t="s">
        <v>246</v>
      </c>
      <c r="C187" s="49" t="str">
        <f>VLOOKUP(B187,'Composição dos serv'!A:I,3,FALSE)</f>
        <v>Remoção e Transporte Mecanizado do entulho a ser reutilizado</v>
      </c>
      <c r="D187" s="50" t="s">
        <v>291</v>
      </c>
      <c r="E187" s="49"/>
      <c r="F187" s="52">
        <f>IF(E187=1,SUM(F154:F184)-H191,0)</f>
        <v>0</v>
      </c>
      <c r="G187" s="51">
        <f>SUMIF('Composição dos serv'!A:A,B187,'Composição dos serv'!I:I)</f>
        <v>0</v>
      </c>
      <c r="H187" s="51">
        <f t="shared" si="48"/>
        <v>0</v>
      </c>
      <c r="I187" s="24"/>
      <c r="J187" s="24"/>
      <c r="K187" s="39">
        <f>SUMIF('Composição dos serv'!A:A,B187,'Composição dos serv'!K:K)</f>
        <v>0.02</v>
      </c>
      <c r="L187" s="40">
        <f t="shared" si="49"/>
        <v>0</v>
      </c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25.5" customHeight="1">
      <c r="A188" s="26" t="str">
        <f>A185</f>
        <v>A4.8</v>
      </c>
      <c r="B188" s="50" t="s">
        <v>252</v>
      </c>
      <c r="C188" s="49" t="str">
        <f>VLOOKUP(B188,'Composição dos serv'!A:I,3,FALSE)</f>
        <v>Remoção do entulho com caçamba</v>
      </c>
      <c r="D188" s="50" t="s">
        <v>291</v>
      </c>
      <c r="E188" s="49">
        <v>1</v>
      </c>
      <c r="F188" s="52">
        <f>IF(E188=1,SUM(F154:F184),0)</f>
        <v>318.61999999999995</v>
      </c>
      <c r="G188" s="51">
        <f>SUMIF('Composição dos serv'!A:A,B188,'Composição dos serv'!I:I)</f>
        <v>0</v>
      </c>
      <c r="H188" s="51">
        <f>IF(E188&gt;1,"OPÇÃO ERRADA",F188*G188)+IF(G191=1,H191*G188,0)</f>
        <v>0</v>
      </c>
      <c r="I188" s="24"/>
      <c r="J188" s="24"/>
      <c r="K188" s="39">
        <f>SUMIF('Composição dos serv'!A:A,B188,'Composição dos serv'!K:K)</f>
        <v>0.02</v>
      </c>
      <c r="L188" s="40">
        <f t="shared" si="49"/>
        <v>7</v>
      </c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25.5" hidden="1" customHeight="1">
      <c r="A189" s="26" t="str">
        <f>A185</f>
        <v>A4.8</v>
      </c>
      <c r="B189" s="50" t="s">
        <v>256</v>
      </c>
      <c r="C189" s="49" t="str">
        <f>VLOOKUP(B189,'Composição dos serv'!A:I,3,FALSE)</f>
        <v>Remoção e Transporte Mecanizado do entulho para bota fora</v>
      </c>
      <c r="D189" s="50" t="s">
        <v>291</v>
      </c>
      <c r="E189" s="49"/>
      <c r="F189" s="52">
        <f>IF(E189=1,SUM(F154:F184),0)</f>
        <v>0</v>
      </c>
      <c r="G189" s="51">
        <f>SUMIF('Composição dos serv'!A:A,B189,'Composição dos serv'!I:I)</f>
        <v>0</v>
      </c>
      <c r="H189" s="51">
        <f>IF(E189&gt;1,"OPÇÃO ERRADA",F189*G189)+IF(G191=2,H191*G189,0)</f>
        <v>0</v>
      </c>
      <c r="I189" s="24"/>
      <c r="J189" s="24"/>
      <c r="K189" s="39">
        <f>SUMIF('Composição dos serv'!A:A,B189,'Composição dos serv'!K:K)</f>
        <v>7.9999999999999988E-2</v>
      </c>
      <c r="L189" s="40">
        <f t="shared" si="49"/>
        <v>0</v>
      </c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25.5" customHeight="1">
      <c r="A190" s="26" t="str">
        <f>A185</f>
        <v>A4.8</v>
      </c>
      <c r="B190" s="50" t="s">
        <v>264</v>
      </c>
      <c r="C190" s="49" t="str">
        <f>VLOOKUP(B190,'Composição dos serv'!A:I,3,FALSE)</f>
        <v>Remoção de telhas em cimento amianto</v>
      </c>
      <c r="D190" s="26" t="str">
        <f>VLOOKUP(B190,'Composição dos serv'!A:I,4,FALSE)</f>
        <v>m²</v>
      </c>
      <c r="E190" s="49">
        <f>SUM(E162:E163)</f>
        <v>155</v>
      </c>
      <c r="F190" s="52"/>
      <c r="G190" s="51">
        <f>SUMIF('Composição dos serv'!A:A,B190,'Composição dos serv'!I:I)</f>
        <v>0</v>
      </c>
      <c r="H190" s="51">
        <f>G190*E190</f>
        <v>0</v>
      </c>
      <c r="I190" s="24"/>
      <c r="J190" s="24"/>
      <c r="K190" s="39"/>
      <c r="L190" s="40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25.5" customHeight="1">
      <c r="A191" s="53"/>
      <c r="B191" s="53"/>
      <c r="C191" s="37" t="str">
        <f>IF(E188&lt;&gt;1,IF(E189&lt;&gt;1,IF(H191&lt;&gt;0,"Há Material não reutilizavel qual a destinação para ele?",""),""),"")</f>
        <v/>
      </c>
      <c r="D191" s="168" t="str">
        <f>IF(E188&lt;&gt;1,IF(E189&lt;&gt;1,IF(H191&lt;&gt;0,"Caçamba = 1; Aterro = 2",""),""),"")</f>
        <v/>
      </c>
      <c r="E191" s="169"/>
      <c r="F191" s="170"/>
      <c r="G191" s="37"/>
      <c r="H191" s="54">
        <f>IF(E188=1,0,IF(E189=1,0,ROUNDUP((IF(E158&lt;&gt;"",F158*0.66,0)+IF(E161&lt;&gt;"",F161*0.57,0)+IF(E163&lt;&gt;"",F163,0)+IF(E164&lt;&gt;"",F164*0.2,0)+IF(E165&lt;&gt;"",F165,0)+IF(E167&lt;&gt;"",F167*0.22,0)+IF(E168&lt;&gt;"",F168,0)+IF(E169&lt;&gt;"",F169,0)+IF(E171&lt;&gt;"",F171*0.02,0)+IF(E173&lt;&gt;"",F173*0.09,0)+IF(E174&lt;&gt;"",F174*0.74,0)+IF(E175&lt;&gt;"",F175*(1-0.24),0)+IF(E178&lt;&gt;"",F178,0)+IF(E179&lt;&gt;"",F179,0)+IF(E180&lt;&gt;"",F180,0)+IF(E181&lt;&gt;"",F181,0)+IF(E182&lt;&gt;"",F182,0)+IF(E183&lt;&gt;"",F183,0)+IF(E184&lt;&gt;"",F184,0)+IF(E162&lt;&gt;"",F162,0)+IF(E160&lt;&gt;"",F160,0)),2)))</f>
        <v>0</v>
      </c>
      <c r="I191" s="24"/>
      <c r="J191" s="24"/>
      <c r="K191" s="39"/>
      <c r="L191" s="40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25.5" hidden="1" customHeight="1">
      <c r="I192" s="24"/>
      <c r="J192" s="24"/>
      <c r="K192" s="39">
        <f>SUMIF('Composição dos serv'!A:A,'PESM Itutinga Piloes pt1'!B192,'Composição dos serv'!K:K)</f>
        <v>0</v>
      </c>
      <c r="L192" s="40">
        <f>ROUNDUP(K192*E192,0)</f>
        <v>0</v>
      </c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25.5" customHeight="1">
      <c r="A193" s="68" t="str">
        <f>A151</f>
        <v>A4</v>
      </c>
      <c r="B193" s="193" t="str">
        <f>C151</f>
        <v>EDIFICAÇÃO 4 - Gleba A04</v>
      </c>
      <c r="C193" s="169"/>
      <c r="D193" s="194" t="s">
        <v>280</v>
      </c>
      <c r="E193" s="169"/>
      <c r="F193" s="169"/>
      <c r="G193" s="70">
        <f>SUM(H154:H190)</f>
        <v>0</v>
      </c>
      <c r="H193" s="71"/>
      <c r="I193" s="24"/>
      <c r="J193" s="24"/>
      <c r="K193" s="39">
        <f>IF(SUM(L186:L189)&gt;SUM(L154:L184),SUM(L186:L189),SUM(L154:L184))</f>
        <v>121</v>
      </c>
      <c r="L193" s="40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25.5" customHeight="1">
      <c r="A194" s="66"/>
      <c r="B194" s="53"/>
      <c r="D194" s="53"/>
      <c r="G194" s="67"/>
      <c r="H194" s="67"/>
      <c r="I194" s="24"/>
      <c r="J194" s="24"/>
      <c r="K194" s="39">
        <f>SUMIF('Composição dos serv'!A:A,'PESM Itutinga Piloes pt1'!B194,'Composição dos serv'!K:K)</f>
        <v>0</v>
      </c>
      <c r="L194" s="40">
        <f t="shared" ref="L194:L196" si="50">ROUNDUP(K194*E194,0)</f>
        <v>0</v>
      </c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25.5" customHeight="1">
      <c r="A195" s="72" t="s">
        <v>298</v>
      </c>
      <c r="B195" s="72">
        <v>2</v>
      </c>
      <c r="C195" s="73" t="s">
        <v>299</v>
      </c>
      <c r="D195" s="73"/>
      <c r="E195" s="73"/>
      <c r="F195" s="73"/>
      <c r="G195" s="73"/>
      <c r="H195" s="73"/>
      <c r="I195" s="24"/>
      <c r="J195" s="24"/>
      <c r="K195" s="39">
        <f>SUMIF('Composição dos serv'!A:A,'PESM Itutinga Piloes pt1'!B195,'Composição dos serv'!K:K)</f>
        <v>0</v>
      </c>
      <c r="L195" s="40">
        <f t="shared" si="50"/>
        <v>0</v>
      </c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25.5" hidden="1" customHeight="1">
      <c r="A196" s="26"/>
      <c r="B196" s="66"/>
      <c r="C196" s="66"/>
      <c r="D196" s="66"/>
      <c r="E196" s="66"/>
      <c r="F196" s="66"/>
      <c r="G196" s="66"/>
      <c r="H196" s="66"/>
      <c r="I196" s="24"/>
      <c r="J196" s="24"/>
      <c r="K196" s="39">
        <f>SUMIF('Composição dos serv'!A:A,'PESM Itutinga Piloes pt1'!B196,'Composição dos serv'!K:K)</f>
        <v>0</v>
      </c>
      <c r="L196" s="40">
        <f t="shared" si="50"/>
        <v>0</v>
      </c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25.5" customHeight="1">
      <c r="A197" s="33" t="str">
        <f>CONCATENATE(A195,".1")</f>
        <v>C29.1</v>
      </c>
      <c r="B197" s="33" t="s">
        <v>67</v>
      </c>
      <c r="C197" s="48" t="str">
        <f>VLOOKUP(B197,'Composição dos serv'!A:I,3,FALSE)</f>
        <v>DEMOLIÇÃO DE CALÇADAS E/OU CAMINHOS</v>
      </c>
      <c r="D197" s="48"/>
      <c r="E197" s="48"/>
      <c r="F197" s="48"/>
      <c r="G197" s="48"/>
      <c r="H197" s="48"/>
      <c r="I197" s="24"/>
      <c r="J197" s="24"/>
      <c r="K197" s="31"/>
      <c r="L197" s="32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25.5" customHeight="1">
      <c r="A198" s="26" t="str">
        <f>A197</f>
        <v>C29.1</v>
      </c>
      <c r="B198" s="26" t="s">
        <v>69</v>
      </c>
      <c r="C198" s="49" t="str">
        <f>VLOOKUP(B198,'Composição dos serv'!A:I,3,FALSE)</f>
        <v>Demolição de calçada ou caminhos</v>
      </c>
      <c r="D198" s="50" t="str">
        <f>VLOOKUP(B198,'Composição dos serv'!A:I,4,FALSE)</f>
        <v>m²</v>
      </c>
      <c r="E198" s="49">
        <v>20</v>
      </c>
      <c r="F198" s="49">
        <f>ROUNDUP(E198*0.15,2)</f>
        <v>3</v>
      </c>
      <c r="G198" s="51">
        <f>SUMIF('Composição dos serv'!A:A,'PESM Itutinga Piloes pt1'!B198,'Composição dos serv'!I:I)</f>
        <v>0</v>
      </c>
      <c r="H198" s="51">
        <f t="shared" ref="H198:H199" si="51">E198*G198</f>
        <v>0</v>
      </c>
      <c r="I198" s="24"/>
      <c r="J198" s="24"/>
      <c r="K198" s="39">
        <f>SUMIF('Composição dos serv'!A:A,B198,'Composição dos serv'!K:K)</f>
        <v>0.12</v>
      </c>
      <c r="L198" s="40">
        <f t="shared" ref="L198:L228" si="52">ROUNDUP(K198*E198,0)</f>
        <v>3</v>
      </c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25.5" customHeight="1">
      <c r="A199" s="26" t="str">
        <f>A197</f>
        <v>C29.1</v>
      </c>
      <c r="B199" s="26" t="s">
        <v>75</v>
      </c>
      <c r="C199" s="37" t="str">
        <f>VLOOKUP(B199,'Composição dos serv'!A:I,3,FALSE)</f>
        <v>Demolição de via Asfaltada, em paralelepípedo ou intertravados</v>
      </c>
      <c r="D199" s="26" t="str">
        <f>VLOOKUP(B199,'Composição dos serv'!A:I,4,FALSE)</f>
        <v>m²</v>
      </c>
      <c r="E199" s="37">
        <v>10</v>
      </c>
      <c r="F199" s="37">
        <f>ROUNDUP(E199*0.2,2)</f>
        <v>2</v>
      </c>
      <c r="G199" s="38">
        <f>SUMIF('Composição dos serv'!A:A,'PESM Itutinga Piloes pt1'!B199,'Composição dos serv'!I:I)</f>
        <v>0</v>
      </c>
      <c r="H199" s="38">
        <f t="shared" si="51"/>
        <v>0</v>
      </c>
      <c r="I199" s="24"/>
      <c r="J199" s="24"/>
      <c r="K199" s="39">
        <f>SUMIF('Composição dos serv'!A:A,B199,'Composição dos serv'!K:K)</f>
        <v>0.06</v>
      </c>
      <c r="L199" s="40">
        <f t="shared" si="52"/>
        <v>1</v>
      </c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25.5" customHeight="1">
      <c r="A200" s="33" t="str">
        <f>CONCATENATE(A195,".2")</f>
        <v>C29.2</v>
      </c>
      <c r="B200" s="33" t="s">
        <v>85</v>
      </c>
      <c r="C200" s="34" t="str">
        <f>VLOOKUP(B200,'Composição dos serv'!A:I,3,FALSE)</f>
        <v>DEMOLIÇÃO DE MUROS E CERCAS</v>
      </c>
      <c r="D200" s="35"/>
      <c r="E200" s="35"/>
      <c r="F200" s="35"/>
      <c r="G200" s="35"/>
      <c r="H200" s="36"/>
      <c r="I200" s="24"/>
      <c r="J200" s="24"/>
      <c r="K200" s="39">
        <f>SUMIF('Composição dos serv'!A:A,B200,'Composição dos serv'!K:K)</f>
        <v>0</v>
      </c>
      <c r="L200" s="40">
        <f t="shared" si="52"/>
        <v>0</v>
      </c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25.5" hidden="1" customHeight="1">
      <c r="A201" s="26" t="str">
        <f>A200</f>
        <v>C29.2</v>
      </c>
      <c r="B201" s="26" t="s">
        <v>87</v>
      </c>
      <c r="C201" s="37" t="str">
        <f>VLOOKUP(B201,'Composição dos serv'!A:I,3,FALSE)</f>
        <v>Demolição de muro em alvenaria ou alambrados</v>
      </c>
      <c r="D201" s="26" t="str">
        <f>VLOOKUP(B201,'Composição dos serv'!A:I,4,FALSE)</f>
        <v>m</v>
      </c>
      <c r="E201" s="37"/>
      <c r="F201" s="37">
        <f>ROUNDUP(E201*0.2*2.4,2)</f>
        <v>0</v>
      </c>
      <c r="G201" s="38">
        <f>SUMIF('Composição dos serv'!A:A,'PESM Itutinga Piloes pt1'!B201,'Composição dos serv'!I:I)</f>
        <v>0</v>
      </c>
      <c r="H201" s="38">
        <f t="shared" ref="H201:H202" si="53">E201*G201</f>
        <v>0</v>
      </c>
      <c r="I201" s="24"/>
      <c r="J201" s="24"/>
      <c r="K201" s="39">
        <f>SUMIF('Composição dos serv'!A:A,B201,'Composição dos serv'!K:K)</f>
        <v>0.26</v>
      </c>
      <c r="L201" s="40">
        <f t="shared" si="52"/>
        <v>0</v>
      </c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25.5" customHeight="1">
      <c r="A202" s="26" t="str">
        <f>A200</f>
        <v>C29.2</v>
      </c>
      <c r="B202" s="26" t="s">
        <v>93</v>
      </c>
      <c r="C202" s="37" t="str">
        <f>VLOOKUP(B202,'Composição dos serv'!A:I,3,FALSE)</f>
        <v>Demolição de Cercas</v>
      </c>
      <c r="D202" s="26" t="str">
        <f>VLOOKUP(B202,'Composição dos serv'!A:I,4,FALSE)</f>
        <v>m</v>
      </c>
      <c r="E202" s="37">
        <v>100</v>
      </c>
      <c r="F202" s="37">
        <f>ROUNDUP(E202*0.1*1.8,2)</f>
        <v>18</v>
      </c>
      <c r="G202" s="38">
        <f>SUMIF('Composição dos serv'!A:A,'PESM Itutinga Piloes pt1'!B202,'Composição dos serv'!I:I)</f>
        <v>0</v>
      </c>
      <c r="H202" s="38">
        <f t="shared" si="53"/>
        <v>0</v>
      </c>
      <c r="I202" s="24"/>
      <c r="J202" s="24"/>
      <c r="K202" s="39">
        <f>SUMIF('Composição dos serv'!A:A,B202,'Composição dos serv'!K:K)</f>
        <v>0.06</v>
      </c>
      <c r="L202" s="40">
        <f t="shared" si="52"/>
        <v>6</v>
      </c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25.5" customHeight="1">
      <c r="A203" s="33" t="str">
        <f>CONCATENATE(A195,".3")</f>
        <v>C29.3</v>
      </c>
      <c r="B203" s="33" t="s">
        <v>99</v>
      </c>
      <c r="C203" s="48" t="str">
        <f>VLOOKUP(B203,'Composição dos serv'!A:I,3,FALSE)</f>
        <v>COBERTURA</v>
      </c>
      <c r="D203" s="48"/>
      <c r="E203" s="48"/>
      <c r="F203" s="48"/>
      <c r="G203" s="48"/>
      <c r="H203" s="48"/>
      <c r="I203" s="24"/>
      <c r="J203" s="24"/>
      <c r="K203" s="39">
        <f>SUMIF('Composição dos serv'!A:A,B203,'Composição dos serv'!K:K)</f>
        <v>0</v>
      </c>
      <c r="L203" s="40">
        <f t="shared" si="52"/>
        <v>0</v>
      </c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25.5" hidden="1" customHeight="1">
      <c r="A204" s="26" t="str">
        <f t="shared" ref="A204:A209" si="54">A203</f>
        <v>C29.3</v>
      </c>
      <c r="B204" s="26" t="s">
        <v>101</v>
      </c>
      <c r="C204" s="37" t="str">
        <f>VLOOKUP(B204,'Composição dos serv'!A:I,3,FALSE)</f>
        <v>Retirada de Estrutura de madeira sem telhas</v>
      </c>
      <c r="D204" s="26" t="str">
        <f>VLOOKUP(B204,'Composição dos serv'!A:I,4,FALSE)</f>
        <v>m²</v>
      </c>
      <c r="E204" s="37"/>
      <c r="F204" s="37">
        <f>ROUNDUP(E204*0.2,2)</f>
        <v>0</v>
      </c>
      <c r="G204" s="38">
        <f>SUMIF('Composição dos serv'!A:A,'PESM Itutinga Piloes pt1'!B204,'Composição dos serv'!I:I)</f>
        <v>0</v>
      </c>
      <c r="H204" s="38">
        <f t="shared" ref="H204:H209" si="55">E204*G204</f>
        <v>0</v>
      </c>
      <c r="I204" s="24"/>
      <c r="J204" s="24"/>
      <c r="K204" s="39">
        <f>SUMIF('Composição dos serv'!A:A,B204,'Composição dos serv'!K:K)</f>
        <v>0.03</v>
      </c>
      <c r="L204" s="40">
        <f t="shared" si="52"/>
        <v>0</v>
      </c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25.5" hidden="1" customHeight="1">
      <c r="A205" s="26" t="str">
        <f t="shared" si="54"/>
        <v>C29.3</v>
      </c>
      <c r="B205" s="26" t="s">
        <v>105</v>
      </c>
      <c r="C205" s="37" t="str">
        <f>VLOOKUP(B205,'Composição dos serv'!A:I,3,FALSE)</f>
        <v>Retirada de Telhas de Barro com Estrutura em madeira (tesouras, treliças,...)</v>
      </c>
      <c r="D205" s="26" t="str">
        <f>VLOOKUP(B205,'Composição dos serv'!A:I,4,FALSE)</f>
        <v>m²</v>
      </c>
      <c r="E205" s="37"/>
      <c r="F205" s="37">
        <f>ROUNDUP(E205*0.08+E205*0.2,2)</f>
        <v>0</v>
      </c>
      <c r="G205" s="38">
        <f>SUMIF('Composição dos serv'!A:A,'PESM Itutinga Piloes pt1'!B205,'Composição dos serv'!I:I)</f>
        <v>0</v>
      </c>
      <c r="H205" s="38">
        <f t="shared" si="55"/>
        <v>0</v>
      </c>
      <c r="I205" s="24"/>
      <c r="J205" s="24"/>
      <c r="K205" s="39">
        <f>SUMIF('Composição dos serv'!A:A,B205,'Composição dos serv'!K:K)</f>
        <v>0.06</v>
      </c>
      <c r="L205" s="40">
        <f t="shared" si="52"/>
        <v>0</v>
      </c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25.5" hidden="1" customHeight="1">
      <c r="A206" s="26" t="str">
        <f t="shared" si="54"/>
        <v>C29.3</v>
      </c>
      <c r="B206" s="26" t="s">
        <v>111</v>
      </c>
      <c r="C206" s="37" t="str">
        <f>VLOOKUP(B206,'Composição dos serv'!A:I,3,FALSE)</f>
        <v>Retirada de Telhas de amianto Sem Estrutura</v>
      </c>
      <c r="D206" s="26" t="str">
        <f>VLOOKUP(B206,'Composição dos serv'!A:I,4,FALSE)</f>
        <v>m²</v>
      </c>
      <c r="E206" s="37"/>
      <c r="F206" s="37"/>
      <c r="G206" s="38">
        <f>SUMIF('Composição dos serv'!A:A,'PESM Itutinga Piloes pt1'!B206,'Composição dos serv'!I:I)</f>
        <v>0</v>
      </c>
      <c r="H206" s="38">
        <f t="shared" si="55"/>
        <v>0</v>
      </c>
      <c r="I206" s="24"/>
      <c r="J206" s="24"/>
      <c r="K206" s="39">
        <f>SUMIF('Composição dos serv'!A:A,B206,'Composição dos serv'!K:K)</f>
        <v>0.02</v>
      </c>
      <c r="L206" s="40">
        <f t="shared" si="52"/>
        <v>0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25.5" customHeight="1">
      <c r="A207" s="26" t="str">
        <f t="shared" si="54"/>
        <v>C29.3</v>
      </c>
      <c r="B207" s="26" t="s">
        <v>117</v>
      </c>
      <c r="C207" s="37" t="str">
        <f>VLOOKUP(B207,'Composição dos serv'!A:I,3,FALSE)</f>
        <v>Retirada de Telhas de amianto com Estrutura em madeira (tesouras, treliças,...)</v>
      </c>
      <c r="D207" s="26" t="str">
        <f>VLOOKUP(B207,'Composição dos serv'!A:I,4,FALSE)</f>
        <v>m²</v>
      </c>
      <c r="E207" s="37">
        <v>60</v>
      </c>
      <c r="F207" s="37">
        <f>ROUNDUP(E207*0.1,2)</f>
        <v>6</v>
      </c>
      <c r="G207" s="38">
        <f>SUMIF('Composição dos serv'!A:A,'PESM Itutinga Piloes pt1'!B207,'Composição dos serv'!I:I)</f>
        <v>0</v>
      </c>
      <c r="H207" s="38">
        <f t="shared" si="55"/>
        <v>0</v>
      </c>
      <c r="I207" s="24"/>
      <c r="J207" s="24"/>
      <c r="K207" s="39">
        <f>SUMIF('Composição dos serv'!A:A,B207,'Composição dos serv'!K:K)</f>
        <v>0.04</v>
      </c>
      <c r="L207" s="40">
        <f t="shared" si="52"/>
        <v>3</v>
      </c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25.5" hidden="1" customHeight="1">
      <c r="A208" s="26" t="str">
        <f t="shared" si="54"/>
        <v>C29.3</v>
      </c>
      <c r="B208" s="26" t="s">
        <v>121</v>
      </c>
      <c r="C208" s="37" t="str">
        <f>VLOOKUP(B208,'Composição dos serv'!A:I,3,FALSE)</f>
        <v>Retirada de Laje em concreto</v>
      </c>
      <c r="D208" s="26" t="str">
        <f>VLOOKUP(B208,'Composição dos serv'!A:I,4,FALSE)</f>
        <v>m²</v>
      </c>
      <c r="E208" s="37"/>
      <c r="F208" s="37">
        <f>ROUNDUP(E208*0.12,2)</f>
        <v>0</v>
      </c>
      <c r="G208" s="38">
        <f>SUMIF('Composição dos serv'!A:A,'PESM Itutinga Piloes pt1'!B208,'Composição dos serv'!I:I)</f>
        <v>0</v>
      </c>
      <c r="H208" s="38">
        <f t="shared" si="55"/>
        <v>0</v>
      </c>
      <c r="I208" s="24"/>
      <c r="J208" s="24"/>
      <c r="K208" s="39">
        <f>SUMIF('Composição dos serv'!A:A,B208,'Composição dos serv'!K:K)</f>
        <v>0.09</v>
      </c>
      <c r="L208" s="40">
        <f t="shared" si="52"/>
        <v>0</v>
      </c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25.5" customHeight="1">
      <c r="A209" s="26" t="str">
        <f t="shared" si="54"/>
        <v>C29.3</v>
      </c>
      <c r="B209" s="26" t="s">
        <v>129</v>
      </c>
      <c r="C209" s="37" t="str">
        <f>VLOOKUP(B209,'Composição dos serv'!A:I,3,FALSE)</f>
        <v>Retirada de Forros qualquer com sistema de fixação</v>
      </c>
      <c r="D209" s="26" t="str">
        <f>VLOOKUP(B209,'Composição dos serv'!A:I,4,FALSE)</f>
        <v>m²</v>
      </c>
      <c r="E209" s="37">
        <v>35</v>
      </c>
      <c r="F209" s="37">
        <f>ROUNDUP(E209*0.1,2)</f>
        <v>3.5</v>
      </c>
      <c r="G209" s="38">
        <f>SUMIF('Composição dos serv'!A:A,'PESM Itutinga Piloes pt1'!B209,'Composição dos serv'!I:I)</f>
        <v>0</v>
      </c>
      <c r="H209" s="38">
        <f t="shared" si="55"/>
        <v>0</v>
      </c>
      <c r="I209" s="24"/>
      <c r="J209" s="24"/>
      <c r="K209" s="39">
        <f>SUMIF('Composição dos serv'!A:A,B209,'Composição dos serv'!K:K)</f>
        <v>0.04</v>
      </c>
      <c r="L209" s="40">
        <f t="shared" si="52"/>
        <v>2</v>
      </c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25.5" customHeight="1">
      <c r="A210" s="33" t="str">
        <f>CONCATENATE(A195,".4")</f>
        <v>C29.4</v>
      </c>
      <c r="B210" s="33" t="s">
        <v>133</v>
      </c>
      <c r="C210" s="34" t="str">
        <f>VLOOKUP(B210,'Composição dos serv'!A:I,3,FALSE)</f>
        <v>PAREDES</v>
      </c>
      <c r="D210" s="35"/>
      <c r="E210" s="35"/>
      <c r="F210" s="35"/>
      <c r="G210" s="35"/>
      <c r="H210" s="36"/>
      <c r="I210" s="24"/>
      <c r="J210" s="24"/>
      <c r="K210" s="39">
        <f>SUMIF('Composição dos serv'!A:A,B210,'Composição dos serv'!K:K)</f>
        <v>0</v>
      </c>
      <c r="L210" s="40">
        <f t="shared" si="52"/>
        <v>0</v>
      </c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25.5" customHeight="1">
      <c r="A211" s="26" t="str">
        <f>A210</f>
        <v>C29.4</v>
      </c>
      <c r="B211" s="26" t="s">
        <v>135</v>
      </c>
      <c r="C211" s="37" t="str">
        <f>VLOOKUP(B211,'Composição dos serv'!A:I,3,FALSE)</f>
        <v>Parede em Alvenaria - usar área construida</v>
      </c>
      <c r="D211" s="26" t="str">
        <f>VLOOKUP(B211,'Composição dos serv'!A:I,4,FALSE)</f>
        <v>m²</v>
      </c>
      <c r="E211" s="49">
        <v>60</v>
      </c>
      <c r="F211" s="37">
        <f>ROUNDUP(E211*0.8,2)</f>
        <v>48</v>
      </c>
      <c r="G211" s="38">
        <f>SUMIF('Composição dos serv'!A:A,B211,'Composição dos serv'!I:I)</f>
        <v>0</v>
      </c>
      <c r="H211" s="38">
        <f t="shared" ref="H211:H213" si="56">E211*G211</f>
        <v>0</v>
      </c>
      <c r="I211" s="24"/>
      <c r="J211" s="24"/>
      <c r="K211" s="39">
        <f>SUMIF('Composição dos serv'!A:A,B211,'Composição dos serv'!K:K)</f>
        <v>0.15000000000000002</v>
      </c>
      <c r="L211" s="40">
        <f t="shared" si="52"/>
        <v>9</v>
      </c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25.5" hidden="1" customHeight="1">
      <c r="A212" s="26" t="str">
        <f>A210</f>
        <v>C29.4</v>
      </c>
      <c r="B212" s="26" t="s">
        <v>143</v>
      </c>
      <c r="C212" s="37" t="str">
        <f>VLOOKUP(B212,'Composição dos serv'!A:I,3,FALSE)</f>
        <v>Parede em Madeirite - Chapas de madeira compensada ou aglomerada - área construída</v>
      </c>
      <c r="D212" s="26" t="str">
        <f>VLOOKUP(B212,'Composição dos serv'!A:I,4,FALSE)</f>
        <v>m²</v>
      </c>
      <c r="E212" s="37"/>
      <c r="F212" s="37">
        <f>ROUNDUP(E212*0.21,2)</f>
        <v>0</v>
      </c>
      <c r="G212" s="38">
        <f>SUMIF('Composição dos serv'!A:A,B212,'Composição dos serv'!I:I)</f>
        <v>0</v>
      </c>
      <c r="H212" s="38">
        <f t="shared" si="56"/>
        <v>0</v>
      </c>
      <c r="I212" s="24"/>
      <c r="J212" s="24"/>
      <c r="K212" s="39">
        <f>SUMIF('Composição dos serv'!A:A,B212,'Composição dos serv'!K:K)</f>
        <v>0.15000000000000002</v>
      </c>
      <c r="L212" s="40">
        <f t="shared" si="52"/>
        <v>0</v>
      </c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25.5" hidden="1" customHeight="1">
      <c r="A213" s="26" t="str">
        <f>A210</f>
        <v>C29.4</v>
      </c>
      <c r="B213" s="26" t="s">
        <v>145</v>
      </c>
      <c r="C213" s="37" t="str">
        <f>VLOOKUP(B213,'Composição dos serv'!A:I,3,FALSE)</f>
        <v>Parede em Lambril de madeira - área construída</v>
      </c>
      <c r="D213" s="26" t="str">
        <f>VLOOKUP(B213,'Composição dos serv'!A:I,4,FALSE)</f>
        <v>m²</v>
      </c>
      <c r="E213" s="37"/>
      <c r="F213" s="37">
        <f>ROUNDUP(E213*4*0.12,2)</f>
        <v>0</v>
      </c>
      <c r="G213" s="38">
        <f>SUMIF('Composição dos serv'!A:A,B213,'Composição dos serv'!I:I)</f>
        <v>0</v>
      </c>
      <c r="H213" s="38">
        <f t="shared" si="56"/>
        <v>0</v>
      </c>
      <c r="I213" s="24"/>
      <c r="J213" s="24"/>
      <c r="K213" s="39">
        <f>SUMIF('Composição dos serv'!A:A,B213,'Composição dos serv'!K:K)</f>
        <v>0.35000000000000009</v>
      </c>
      <c r="L213" s="40">
        <f t="shared" si="52"/>
        <v>0</v>
      </c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25.5" customHeight="1">
      <c r="A214" s="33" t="str">
        <f>CONCATENATE(A195,".5")</f>
        <v>C29.5</v>
      </c>
      <c r="B214" s="33" t="s">
        <v>153</v>
      </c>
      <c r="C214" s="34" t="str">
        <f>VLOOKUP(B214,'Composição dos serv'!A:I,3,FALSE)</f>
        <v>PISO E FUNDAÇÃO</v>
      </c>
      <c r="D214" s="35"/>
      <c r="E214" s="35"/>
      <c r="F214" s="35"/>
      <c r="G214" s="35"/>
      <c r="H214" s="36"/>
      <c r="I214" s="24"/>
      <c r="J214" s="24"/>
      <c r="K214" s="39">
        <f>SUMIF('Composição dos serv'!A:A,B214,'Composição dos serv'!K:K)</f>
        <v>0</v>
      </c>
      <c r="L214" s="40">
        <f t="shared" si="52"/>
        <v>0</v>
      </c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25.5" hidden="1" customHeight="1">
      <c r="A215" s="26" t="str">
        <f>A214</f>
        <v>C29.5</v>
      </c>
      <c r="B215" s="26" t="s">
        <v>155</v>
      </c>
      <c r="C215" s="37" t="str">
        <f>VLOOKUP(B215,'Composição dos serv'!A:I,3,FALSE)</f>
        <v>Piso da edificação com fundação</v>
      </c>
      <c r="D215" s="26" t="str">
        <f>VLOOKUP(B215,'Composição dos serv'!A:I,4,FALSE)</f>
        <v>m²</v>
      </c>
      <c r="E215" s="37"/>
      <c r="F215" s="37">
        <f>ROUNDUP(E215*0.24,2)</f>
        <v>0</v>
      </c>
      <c r="G215" s="38">
        <f>SUMIF('Composição dos serv'!A:A,B215,'Composição dos serv'!I:I)</f>
        <v>0</v>
      </c>
      <c r="H215" s="38">
        <f>E215*G215</f>
        <v>0</v>
      </c>
      <c r="I215" s="24"/>
      <c r="J215" s="24"/>
      <c r="K215" s="39">
        <f>SUMIF('Composição dos serv'!A:A,B215,'Composição dos serv'!K:K)</f>
        <v>0.17</v>
      </c>
      <c r="L215" s="40">
        <f t="shared" si="52"/>
        <v>0</v>
      </c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25.5" customHeight="1">
      <c r="A216" s="33" t="str">
        <f>CONCATENATE(A195,".6")</f>
        <v>C29.6</v>
      </c>
      <c r="B216" s="33" t="s">
        <v>161</v>
      </c>
      <c r="C216" s="48" t="str">
        <f>VLOOKUP(B216,'Composição dos serv'!A:I,3,FALSE)</f>
        <v>ESTRUTURAS DIVERSAS</v>
      </c>
      <c r="D216" s="48"/>
      <c r="E216" s="48"/>
      <c r="F216" s="48"/>
      <c r="G216" s="48"/>
      <c r="H216" s="48"/>
      <c r="I216" s="24"/>
      <c r="J216" s="24"/>
      <c r="K216" s="39">
        <f>SUMIF('Composição dos serv'!A:A,B216,'Composição dos serv'!K:K)</f>
        <v>0</v>
      </c>
      <c r="L216" s="40">
        <f t="shared" si="52"/>
        <v>0</v>
      </c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25.5" hidden="1" customHeight="1">
      <c r="A217" s="26" t="str">
        <f>A216</f>
        <v>C29.6</v>
      </c>
      <c r="B217" s="26" t="s">
        <v>163</v>
      </c>
      <c r="C217" s="37" t="str">
        <f>VLOOKUP(B217,'Composição dos serv'!A:I,3,FALSE)</f>
        <v>Escada em concreto com corrimão</v>
      </c>
      <c r="D217" s="26" t="str">
        <f>VLOOKUP(B217,'Composição dos serv'!A:I,4,FALSE)</f>
        <v>m</v>
      </c>
      <c r="E217" s="49"/>
      <c r="F217" s="37">
        <f>ROUNDUP(E217*1.2*0.25,2)</f>
        <v>0</v>
      </c>
      <c r="G217" s="38">
        <f>SUMIF('Composição dos serv'!A:A,'PESM Itutinga Piloes pt1'!B217,'Composição dos serv'!I:I)</f>
        <v>0</v>
      </c>
      <c r="H217" s="38">
        <f t="shared" ref="H217:H220" si="57">E217*G217</f>
        <v>0</v>
      </c>
      <c r="I217" s="24"/>
      <c r="J217" s="24"/>
      <c r="K217" s="39">
        <f>SUMIF('Composição dos serv'!A:A,B217,'Composição dos serv'!K:K)</f>
        <v>0.39</v>
      </c>
      <c r="L217" s="40">
        <f t="shared" si="52"/>
        <v>0</v>
      </c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25.5" customHeight="1">
      <c r="A218" s="26" t="str">
        <f>A216</f>
        <v>C29.6</v>
      </c>
      <c r="B218" s="26" t="s">
        <v>169</v>
      </c>
      <c r="C218" s="37" t="str">
        <f>VLOOKUP(B218,'Composição dos serv'!A:I,3,FALSE)</f>
        <v>Entrada de Energia - medidor</v>
      </c>
      <c r="D218" s="26" t="str">
        <f>VLOOKUP(B218,'Composição dos serv'!A:I,4,FALSE)</f>
        <v>un</v>
      </c>
      <c r="E218" s="37">
        <v>1</v>
      </c>
      <c r="F218" s="37">
        <f>ROUNDUP(E218*(3.2+(((3.1415*0.4^2)/4)*6)),2)</f>
        <v>3.96</v>
      </c>
      <c r="G218" s="38">
        <f>SUMIF('Composição dos serv'!A:A,'PESM Itutinga Piloes pt1'!B218,'Composição dos serv'!I:I)</f>
        <v>0</v>
      </c>
      <c r="H218" s="38">
        <f t="shared" si="57"/>
        <v>0</v>
      </c>
      <c r="I218" s="24"/>
      <c r="J218" s="24"/>
      <c r="K218" s="39">
        <f>SUMIF('Composição dos serv'!A:A,B218,'Composição dos serv'!K:K)</f>
        <v>1.7600000000000002</v>
      </c>
      <c r="L218" s="40">
        <f t="shared" si="52"/>
        <v>2</v>
      </c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ht="25.5" customHeight="1">
      <c r="A219" s="26" t="str">
        <f>A216</f>
        <v>C29.6</v>
      </c>
      <c r="B219" s="26" t="s">
        <v>183</v>
      </c>
      <c r="C219" s="37" t="str">
        <f>VLOOKUP(B219,'Composição dos serv'!A:I,3,FALSE)</f>
        <v>Hidrômetro com abrigo</v>
      </c>
      <c r="D219" s="26" t="str">
        <f>VLOOKUP(B219,'Composição dos serv'!A:I,4,FALSE)</f>
        <v>un</v>
      </c>
      <c r="E219" s="37">
        <v>1</v>
      </c>
      <c r="F219" s="37">
        <f>ROUNDUP(E219*(1.7+0.1),2)</f>
        <v>1.8</v>
      </c>
      <c r="G219" s="38">
        <f>SUMIF('Composição dos serv'!A:A,'PESM Itutinga Piloes pt1'!B219,'Composição dos serv'!I:I)</f>
        <v>0</v>
      </c>
      <c r="H219" s="38">
        <f t="shared" si="57"/>
        <v>0</v>
      </c>
      <c r="I219" s="24"/>
      <c r="J219" s="24"/>
      <c r="K219" s="39">
        <f>SUMIF('Composição dos serv'!A:A,B219,'Composição dos serv'!K:K)</f>
        <v>0.44000000000000006</v>
      </c>
      <c r="L219" s="40">
        <f t="shared" si="52"/>
        <v>1</v>
      </c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25.5" customHeight="1">
      <c r="A220" s="26" t="str">
        <f>A218</f>
        <v>C29.6</v>
      </c>
      <c r="B220" s="26" t="s">
        <v>191</v>
      </c>
      <c r="C220" s="37" t="str">
        <f>VLOOKUP(B220,'Composição dos serv'!A:I,3,FALSE)</f>
        <v>Aterro de Fossa com retirada de tampa</v>
      </c>
      <c r="D220" s="26" t="str">
        <f>VLOOKUP(B220,'Composição dos serv'!A:I,4,FALSE)</f>
        <v>un</v>
      </c>
      <c r="E220" s="37">
        <v>1</v>
      </c>
      <c r="F220" s="37">
        <f>ROUNDUP(E220*(0.4),2)</f>
        <v>0.4</v>
      </c>
      <c r="G220" s="38">
        <f>SUMIF('Composição dos serv'!A:A,'PESM Itutinga Piloes pt1'!B220,'Composição dos serv'!I:I)</f>
        <v>0</v>
      </c>
      <c r="H220" s="38">
        <f t="shared" si="57"/>
        <v>0</v>
      </c>
      <c r="I220" s="24"/>
      <c r="J220" s="24"/>
      <c r="K220" s="39">
        <f>SUMIF('Composição dos serv'!A:A,B220,'Composição dos serv'!K:K)</f>
        <v>0.85000000000000009</v>
      </c>
      <c r="L220" s="40">
        <f t="shared" si="52"/>
        <v>1</v>
      </c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25.5" customHeight="1">
      <c r="A221" s="33" t="str">
        <f>CONCATENATE(A195,".7")</f>
        <v>C29.7</v>
      </c>
      <c r="B221" s="33" t="s">
        <v>195</v>
      </c>
      <c r="C221" s="48" t="str">
        <f>VLOOKUP(B221,'Composição dos serv'!A:I,3,FALSE)</f>
        <v>ACABAMENTOS DIVERSOS e OUTROS</v>
      </c>
      <c r="D221" s="48"/>
      <c r="E221" s="48"/>
      <c r="F221" s="48"/>
      <c r="G221" s="48"/>
      <c r="H221" s="48"/>
      <c r="I221" s="24"/>
      <c r="J221" s="24"/>
      <c r="K221" s="39">
        <f>SUMIF('Composição dos serv'!A:A,B221,'Composição dos serv'!K:K)</f>
        <v>0</v>
      </c>
      <c r="L221" s="40">
        <f t="shared" si="52"/>
        <v>0</v>
      </c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25.5" customHeight="1">
      <c r="A222" s="26" t="str">
        <f>A221</f>
        <v>C29.7</v>
      </c>
      <c r="B222" s="50" t="s">
        <v>197</v>
      </c>
      <c r="C222" s="49" t="str">
        <f>VLOOKUP(B222,'Composição dos serv'!A:I,3,FALSE)</f>
        <v>Remoção de aparelhos sanitarios - por banheiro</v>
      </c>
      <c r="D222" s="50" t="str">
        <f>VLOOKUP(B222,'Composição dos serv'!A:I,4,FALSE)</f>
        <v>unid</v>
      </c>
      <c r="E222" s="49">
        <v>1</v>
      </c>
      <c r="F222" s="37">
        <f t="shared" ref="F222:F224" si="58">ROUNDUP(E222*1,2)</f>
        <v>1</v>
      </c>
      <c r="G222" s="51">
        <f>SUMIF('Composição dos serv'!A:A,B222,'Composição dos serv'!I:I)</f>
        <v>0</v>
      </c>
      <c r="H222" s="51">
        <f t="shared" ref="H222:H228" si="59">E222*G222</f>
        <v>0</v>
      </c>
      <c r="I222" s="24"/>
      <c r="J222" s="24"/>
      <c r="K222" s="39">
        <f>SUMIF('Composição dos serv'!A:A,B222,'Composição dos serv'!K:K)</f>
        <v>0.19</v>
      </c>
      <c r="L222" s="40">
        <f t="shared" si="52"/>
        <v>1</v>
      </c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ht="25.5" customHeight="1">
      <c r="A223" s="26" t="str">
        <f>A221</f>
        <v>C29.7</v>
      </c>
      <c r="B223" s="50" t="s">
        <v>209</v>
      </c>
      <c r="C223" s="37" t="str">
        <f>VLOOKUP(B223,'Composição dos serv'!A:I,3,FALSE)</f>
        <v>Remoção de aparelhos sanitarios - Cozinha e Área de Serviço</v>
      </c>
      <c r="D223" s="26" t="str">
        <f>VLOOKUP(B223,'Composição dos serv'!A:I,4,FALSE)</f>
        <v>unid</v>
      </c>
      <c r="E223" s="37">
        <v>1</v>
      </c>
      <c r="F223" s="37">
        <f t="shared" si="58"/>
        <v>1</v>
      </c>
      <c r="G223" s="51">
        <f>SUMIF('Composição dos serv'!A:A,B223,'Composição dos serv'!I:I)</f>
        <v>0</v>
      </c>
      <c r="H223" s="38">
        <f t="shared" si="59"/>
        <v>0</v>
      </c>
      <c r="I223" s="24"/>
      <c r="J223" s="24"/>
      <c r="K223" s="39">
        <f>SUMIF('Composição dos serv'!A:A,B223,'Composição dos serv'!K:K)</f>
        <v>0.21</v>
      </c>
      <c r="L223" s="40">
        <f t="shared" si="52"/>
        <v>1</v>
      </c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ht="25.5" customHeight="1">
      <c r="A224" s="26" t="str">
        <f>A221</f>
        <v>C29.7</v>
      </c>
      <c r="B224" s="50" t="s">
        <v>215</v>
      </c>
      <c r="C224" s="37" t="str">
        <f>VLOOKUP(B224,'Composição dos serv'!A:I,3,FALSE)</f>
        <v>Remoção de caixa d'agua</v>
      </c>
      <c r="D224" s="26" t="str">
        <f>VLOOKUP(B224,'Composição dos serv'!A:I,4,FALSE)</f>
        <v>unid</v>
      </c>
      <c r="E224" s="37">
        <v>1</v>
      </c>
      <c r="F224" s="37">
        <f t="shared" si="58"/>
        <v>1</v>
      </c>
      <c r="G224" s="51">
        <f>SUMIF('Composição dos serv'!A:A,B224,'Composição dos serv'!I:I)</f>
        <v>0</v>
      </c>
      <c r="H224" s="38">
        <f t="shared" si="59"/>
        <v>0</v>
      </c>
      <c r="I224" s="24"/>
      <c r="J224" s="24"/>
      <c r="K224" s="39">
        <f>SUMIF('Composição dos serv'!A:A,B224,'Composição dos serv'!K:K)</f>
        <v>0.42000000000000004</v>
      </c>
      <c r="L224" s="40">
        <f t="shared" si="52"/>
        <v>1</v>
      </c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25.5" hidden="1" customHeight="1">
      <c r="A225" s="26" t="str">
        <f>A221</f>
        <v>C29.7</v>
      </c>
      <c r="B225" s="50" t="s">
        <v>219</v>
      </c>
      <c r="C225" s="37" t="str">
        <f>VLOOKUP(B225,'Composição dos serv'!A:I,3,FALSE)</f>
        <v>Remoção do Sistema de Para raios - área do telhado</v>
      </c>
      <c r="D225" s="26" t="str">
        <f>VLOOKUP(B225,'Composição dos serv'!A:I,4,FALSE)</f>
        <v>m²</v>
      </c>
      <c r="E225" s="37"/>
      <c r="F225" s="37">
        <f>ROUNDUP(E225/60,2)</f>
        <v>0</v>
      </c>
      <c r="G225" s="51">
        <f>SUMIF('Composição dos serv'!A:A,B225,'Composição dos serv'!I:I)</f>
        <v>0</v>
      </c>
      <c r="H225" s="38">
        <f t="shared" si="59"/>
        <v>0</v>
      </c>
      <c r="I225" s="24"/>
      <c r="J225" s="24"/>
      <c r="K225" s="39">
        <f>SUMIF('Composição dos serv'!A:A,B225,'Composição dos serv'!K:K)</f>
        <v>0.05</v>
      </c>
      <c r="L225" s="40">
        <f t="shared" si="52"/>
        <v>0</v>
      </c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ht="25.5" customHeight="1">
      <c r="A226" s="26" t="str">
        <f>A221</f>
        <v>C29.7</v>
      </c>
      <c r="B226" s="50" t="s">
        <v>227</v>
      </c>
      <c r="C226" s="37" t="str">
        <f>VLOOKUP(B226,'Composição dos serv'!A:I,3,FALSE)</f>
        <v>Janelas</v>
      </c>
      <c r="D226" s="26" t="str">
        <f>VLOOKUP(B226,'Composição dos serv'!A:I,4,FALSE)</f>
        <v>un</v>
      </c>
      <c r="E226" s="37">
        <v>3</v>
      </c>
      <c r="F226" s="37">
        <f>ROUNDUP(E226*1.5*1.2*0.2,2)</f>
        <v>1.08</v>
      </c>
      <c r="G226" s="51">
        <f>SUMIF('Composição dos serv'!A:A,B226,'Composição dos serv'!I:I)</f>
        <v>0</v>
      </c>
      <c r="H226" s="38">
        <f t="shared" si="59"/>
        <v>0</v>
      </c>
      <c r="I226" s="24"/>
      <c r="J226" s="24"/>
      <c r="K226" s="39">
        <f>SUMIF('Composição dos serv'!A:A,B226,'Composição dos serv'!K:K)</f>
        <v>0</v>
      </c>
      <c r="L226" s="40">
        <f t="shared" si="52"/>
        <v>0</v>
      </c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25.5" customHeight="1">
      <c r="A227" s="26" t="str">
        <f>A221</f>
        <v>C29.7</v>
      </c>
      <c r="B227" s="50" t="s">
        <v>234</v>
      </c>
      <c r="C227" s="37" t="str">
        <f>VLOOKUP(B227,'Composição dos serv'!A:I,3,FALSE)</f>
        <v>Portas</v>
      </c>
      <c r="D227" s="26" t="str">
        <f>VLOOKUP(B227,'Composição dos serv'!A:I,4,FALSE)</f>
        <v>un</v>
      </c>
      <c r="E227" s="37">
        <v>1</v>
      </c>
      <c r="F227" s="37">
        <f>ROUNDUP(E227*2.1*0.9*0.2,2)</f>
        <v>0.38</v>
      </c>
      <c r="G227" s="51">
        <f>SUMIF('Composição dos serv'!A:A,B227,'Composição dos serv'!I:I)</f>
        <v>0</v>
      </c>
      <c r="H227" s="38">
        <f t="shared" si="59"/>
        <v>0</v>
      </c>
      <c r="I227" s="24"/>
      <c r="J227" s="24"/>
      <c r="K227" s="39">
        <f>SUMIF('Composição dos serv'!A:A,B227,'Composição dos serv'!K:K)</f>
        <v>0</v>
      </c>
      <c r="L227" s="40">
        <f t="shared" si="52"/>
        <v>0</v>
      </c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25.5" hidden="1" customHeight="1">
      <c r="A228" s="26" t="str">
        <f>A221</f>
        <v>C29.7</v>
      </c>
      <c r="B228" s="50" t="s">
        <v>236</v>
      </c>
      <c r="C228" s="37" t="str">
        <f>VLOOKUP(B228,'Composição dos serv'!A:I,3,FALSE)</f>
        <v>Guarda corpo de metal</v>
      </c>
      <c r="D228" s="26" t="str">
        <f>VLOOKUP(B228,'Composição dos serv'!A:I,4,FALSE)</f>
        <v>m</v>
      </c>
      <c r="E228" s="37"/>
      <c r="F228" s="37">
        <f>ROUNDUP(E228*1.7*0.05,2)</f>
        <v>0</v>
      </c>
      <c r="G228" s="51">
        <f>SUMIF('Composição dos serv'!A:A,B228,'Composição dos serv'!I:I)</f>
        <v>0</v>
      </c>
      <c r="H228" s="38">
        <f t="shared" si="59"/>
        <v>0</v>
      </c>
      <c r="I228" s="24"/>
      <c r="J228" s="24"/>
      <c r="K228" s="39">
        <f>SUMIF('Composição dos serv'!A:A,B228,'Composição dos serv'!K:K)</f>
        <v>0</v>
      </c>
      <c r="L228" s="40">
        <f t="shared" si="52"/>
        <v>0</v>
      </c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25.5" customHeight="1">
      <c r="A229" s="33" t="str">
        <f>CONCATENATE(A195,".8")</f>
        <v>C29.8</v>
      </c>
      <c r="B229" s="33" t="s">
        <v>240</v>
      </c>
      <c r="C229" s="48" t="str">
        <f>VLOOKUP(B229,'Composição dos serv'!A:I,3,FALSE)</f>
        <v>ENTULHO</v>
      </c>
      <c r="D229" s="48"/>
      <c r="E229" s="48"/>
      <c r="F229" s="48"/>
      <c r="G229" s="48"/>
      <c r="H229" s="48"/>
      <c r="I229" s="24"/>
      <c r="J229" s="24"/>
      <c r="K229" s="39">
        <f>SUMIF('Composição dos serv'!A:A,B229,'Composição dos serv'!K:K)</f>
        <v>0</v>
      </c>
      <c r="L229" s="40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25.5" hidden="1" customHeight="1">
      <c r="A230" s="26" t="str">
        <f>A229</f>
        <v>C29.8</v>
      </c>
      <c r="B230" s="50" t="s">
        <v>242</v>
      </c>
      <c r="C230" s="49" t="str">
        <f>VLOOKUP(B230,'Composição dos serv'!A:I,3,FALSE)</f>
        <v>Transporte e espalhamento Manual do entulho a ser reutilizado</v>
      </c>
      <c r="D230" s="50" t="s">
        <v>291</v>
      </c>
      <c r="E230" s="49"/>
      <c r="F230" s="52">
        <f>IF(E230=1,ROUNDUP((IF(E198&lt;&gt;"",F198,0)+IF(E199&lt;&gt;"",F199,0)+IF(E201&lt;&gt;"",F201,0)+IF(E202&lt;&gt;"",F202*0.34,0)+IF(E205&lt;&gt;"",F205*0.43,0)+IF(E208&lt;&gt;"",F208*0.8,0)+IF(E211&lt;&gt;"",F211*(0.78),0)+IF(E215&lt;&gt;"",F215*0.98,0)+IF(E217&lt;&gt;"",F217*0.91,0)+IF(E218&lt;&gt;"",F218*0.26,0)+IF(E219&lt;&gt;"",F219*0.24,0)+IF(E220&lt;&gt;"",F220,0)),2),0)</f>
        <v>0</v>
      </c>
      <c r="G230" s="51">
        <f>SUMIF('Composição dos serv'!A:A,B230,'Composição dos serv'!I:I)</f>
        <v>0</v>
      </c>
      <c r="H230" s="51">
        <f t="shared" ref="H230:H231" si="60">F230*G230</f>
        <v>0</v>
      </c>
      <c r="I230" s="24"/>
      <c r="J230" s="24"/>
      <c r="K230" s="39">
        <f>SUMIF('Composição dos serv'!A:A,B230,'Composição dos serv'!K:K)</f>
        <v>0.15000000000000002</v>
      </c>
      <c r="L230" s="40">
        <f t="shared" ref="L230:L233" si="61">ROUNDUP(K230*F230,0)</f>
        <v>0</v>
      </c>
      <c r="M230" s="45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25.5" hidden="1" customHeight="1">
      <c r="A231" s="26" t="str">
        <f>A229</f>
        <v>C29.8</v>
      </c>
      <c r="B231" s="50" t="s">
        <v>246</v>
      </c>
      <c r="C231" s="49" t="str">
        <f>VLOOKUP(B231,'Composição dos serv'!A:I,3,FALSE)</f>
        <v>Remoção e Transporte Mecanizado do entulho a ser reutilizado</v>
      </c>
      <c r="D231" s="50" t="s">
        <v>291</v>
      </c>
      <c r="E231" s="49"/>
      <c r="F231" s="52">
        <f>IF(E231=1,SUM(F198:F228)-H235,0)</f>
        <v>0</v>
      </c>
      <c r="G231" s="51">
        <f>SUMIF('Composição dos serv'!A:A,B231,'Composição dos serv'!I:I)</f>
        <v>0</v>
      </c>
      <c r="H231" s="51">
        <f t="shared" si="60"/>
        <v>0</v>
      </c>
      <c r="I231" s="24"/>
      <c r="J231" s="24"/>
      <c r="K231" s="39">
        <f>SUMIF('Composição dos serv'!A:A,B231,'Composição dos serv'!K:K)</f>
        <v>0.02</v>
      </c>
      <c r="L231" s="40">
        <f t="shared" si="61"/>
        <v>0</v>
      </c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25.5" hidden="1" customHeight="1">
      <c r="A232" s="26" t="str">
        <f>A229</f>
        <v>C29.8</v>
      </c>
      <c r="B232" s="50" t="s">
        <v>252</v>
      </c>
      <c r="C232" s="49" t="str">
        <f>VLOOKUP(B232,'Composição dos serv'!A:I,3,FALSE)</f>
        <v>Remoção do entulho com caçamba</v>
      </c>
      <c r="D232" s="50" t="s">
        <v>291</v>
      </c>
      <c r="E232" s="49"/>
      <c r="F232" s="52">
        <f>IF(E232=1,SUM(F198:F228),0)</f>
        <v>0</v>
      </c>
      <c r="G232" s="51">
        <f>SUMIF('Composição dos serv'!A:A,B232,'Composição dos serv'!I:I)</f>
        <v>0</v>
      </c>
      <c r="H232" s="51">
        <f>IF(E232&gt;1,"OPÇÃO ERRADA",F232*G232)+IF(G235=1,H235*G232,0)</f>
        <v>0</v>
      </c>
      <c r="I232" s="24"/>
      <c r="J232" s="24"/>
      <c r="K232" s="39">
        <f>SUMIF('Composição dos serv'!A:A,B232,'Composição dos serv'!K:K)</f>
        <v>0.02</v>
      </c>
      <c r="L232" s="40">
        <f t="shared" si="61"/>
        <v>0</v>
      </c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25.5" customHeight="1">
      <c r="A233" s="26" t="str">
        <f>A229</f>
        <v>C29.8</v>
      </c>
      <c r="B233" s="50" t="s">
        <v>256</v>
      </c>
      <c r="C233" s="49" t="str">
        <f>VLOOKUP(B233,'Composição dos serv'!A:I,3,FALSE)</f>
        <v>Remoção e Transporte Mecanizado do entulho para bota fora</v>
      </c>
      <c r="D233" s="50" t="s">
        <v>291</v>
      </c>
      <c r="E233" s="49">
        <v>1</v>
      </c>
      <c r="F233" s="52">
        <f>IF(E233=1,SUM(F198:F228),0)</f>
        <v>91.11999999999999</v>
      </c>
      <c r="G233" s="51">
        <f>SUMIF('Composição dos serv'!A:A,B233,'Composição dos serv'!I:I)</f>
        <v>0</v>
      </c>
      <c r="H233" s="51">
        <f>IF(E233&gt;1,"OPÇÃO ERRADA",F233*G233)+IF(G235=2,H235*G233,0)</f>
        <v>0</v>
      </c>
      <c r="I233" s="24"/>
      <c r="J233" s="24"/>
      <c r="K233" s="39">
        <f>SUMIF('Composição dos serv'!A:A,B233,'Composição dos serv'!K:K)</f>
        <v>7.9999999999999988E-2</v>
      </c>
      <c r="L233" s="40">
        <f t="shared" si="61"/>
        <v>8</v>
      </c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25.5" customHeight="1">
      <c r="A234" s="26" t="str">
        <f>A229</f>
        <v>C29.8</v>
      </c>
      <c r="B234" s="50" t="s">
        <v>264</v>
      </c>
      <c r="C234" s="49" t="str">
        <f>VLOOKUP(B234,'Composição dos serv'!A:I,3,FALSE)</f>
        <v>Remoção de telhas em cimento amianto</v>
      </c>
      <c r="D234" s="26" t="str">
        <f>VLOOKUP(B234,'Composição dos serv'!A:I,4,FALSE)</f>
        <v>m²</v>
      </c>
      <c r="E234" s="49">
        <f>SUM(E206:E207)</f>
        <v>60</v>
      </c>
      <c r="F234" s="52"/>
      <c r="G234" s="51">
        <f>SUMIF('Composição dos serv'!A:A,B234,'Composição dos serv'!I:I)</f>
        <v>0</v>
      </c>
      <c r="H234" s="51">
        <f>G234*E234</f>
        <v>0</v>
      </c>
      <c r="I234" s="24"/>
      <c r="J234" s="24"/>
      <c r="K234" s="39"/>
      <c r="L234" s="40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25.5" customHeight="1">
      <c r="A235" s="53"/>
      <c r="B235" s="53"/>
      <c r="C235" s="37" t="str">
        <f>IF(E232&lt;&gt;1,IF(E233&lt;&gt;1,IF(H235&lt;&gt;0,"Há Material não reutilizavel qual a destinação para ele?",""),""),"")</f>
        <v/>
      </c>
      <c r="D235" s="168" t="str">
        <f>IF(E232&lt;&gt;1,IF(E233&lt;&gt;1,IF(H235&lt;&gt;0,"Caçamba = 1; Aterro = 2",""),""),"")</f>
        <v/>
      </c>
      <c r="E235" s="169"/>
      <c r="F235" s="170"/>
      <c r="G235" s="37">
        <v>1</v>
      </c>
      <c r="H235" s="54">
        <f>IF(E232=1,0,IF(E233=1,0,ROUNDUP((IF(E202&lt;&gt;"",F202*0.66,0)+IF(E205&lt;&gt;"",F205*0.57,0)+IF(E207&lt;&gt;"",F207,0)+IF(E208&lt;&gt;"",F208*0.2,0)+IF(E209&lt;&gt;"",F209,0)+IF(E211&lt;&gt;"",F211*0.22,0)+IF(E212&lt;&gt;"",F212,0)+IF(E213&lt;&gt;"",F213,0)+IF(E215&lt;&gt;"",F215*0.02,0)+IF(E217&lt;&gt;"",F217*0.09,0)+IF(E218&lt;&gt;"",F218*0.74,0)+IF(E219&lt;&gt;"",F219*(1-0.24),0)+IF(E222&lt;&gt;"",F222,0)+IF(E223&lt;&gt;"",F223,0)+IF(E224&lt;&gt;"",F224,0)+IF(E225&lt;&gt;"",F225,0)+IF(E226&lt;&gt;"",F226,0)+IF(E227&lt;&gt;"",F227,0)+IF(E228&lt;&gt;"",F228,0)+IF(E206&lt;&gt;"",F206,0)+IF(E204&lt;&gt;"",F204,0)),2)))</f>
        <v>0</v>
      </c>
      <c r="I235" s="24"/>
      <c r="J235" s="24"/>
      <c r="K235" s="39"/>
      <c r="L235" s="40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25.5" hidden="1" customHeight="1">
      <c r="I236" s="24"/>
      <c r="J236" s="24"/>
      <c r="K236" s="39">
        <f>SUMIF('Composição dos serv'!A:A,'PESM Itutinga Piloes pt1'!B236,'Composição dos serv'!K:K)</f>
        <v>0</v>
      </c>
      <c r="L236" s="40">
        <f>ROUNDUP(K236*E236,0)</f>
        <v>0</v>
      </c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25.5" customHeight="1">
      <c r="A237" s="72" t="str">
        <f>A195</f>
        <v>C29</v>
      </c>
      <c r="B237" s="187" t="str">
        <f>C195</f>
        <v>EDIFICAÇÃO 5 - Gleba C29</v>
      </c>
      <c r="C237" s="169"/>
      <c r="D237" s="188" t="s">
        <v>280</v>
      </c>
      <c r="E237" s="169"/>
      <c r="F237" s="169"/>
      <c r="G237" s="74">
        <f>SUM(H198:H234)</f>
        <v>0</v>
      </c>
      <c r="H237" s="75"/>
      <c r="I237" s="24"/>
      <c r="J237" s="24"/>
      <c r="K237" s="39">
        <f>IF(SUM(L230:L233)&gt;SUM(L198:L228),SUM(L230:L233),SUM(L198:L228))</f>
        <v>31</v>
      </c>
      <c r="L237" s="40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25.5" customHeight="1">
      <c r="A238" s="66"/>
      <c r="B238" s="53"/>
      <c r="D238" s="53"/>
      <c r="G238" s="67"/>
      <c r="H238" s="67"/>
      <c r="I238" s="24"/>
      <c r="J238" s="24"/>
      <c r="K238" s="39">
        <f>SUMIF('Composição dos serv'!A:A,'PESM Itutinga Piloes pt1'!B238,'Composição dos serv'!K:K)</f>
        <v>0</v>
      </c>
      <c r="L238" s="40">
        <f t="shared" ref="L238:L240" si="62">ROUNDUP(K238*E238,0)</f>
        <v>0</v>
      </c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25.5" customHeight="1">
      <c r="A239" s="76" t="s">
        <v>300</v>
      </c>
      <c r="B239" s="76">
        <v>2</v>
      </c>
      <c r="C239" s="77" t="s">
        <v>301</v>
      </c>
      <c r="D239" s="77"/>
      <c r="E239" s="77"/>
      <c r="F239" s="77"/>
      <c r="G239" s="77"/>
      <c r="H239" s="77"/>
      <c r="I239" s="24"/>
      <c r="J239" s="24"/>
      <c r="K239" s="39">
        <f>SUMIF('Composição dos serv'!A:A,'PESM Itutinga Piloes pt1'!B239,'Composição dos serv'!K:K)</f>
        <v>0</v>
      </c>
      <c r="L239" s="40">
        <f t="shared" si="62"/>
        <v>0</v>
      </c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25.5" customHeight="1">
      <c r="A240" s="26"/>
      <c r="B240" s="66"/>
      <c r="C240" s="66"/>
      <c r="D240" s="66"/>
      <c r="E240" s="66"/>
      <c r="F240" s="66"/>
      <c r="G240" s="66"/>
      <c r="H240" s="66"/>
      <c r="I240" s="24"/>
      <c r="J240" s="24"/>
      <c r="K240" s="39">
        <f>SUMIF('Composição dos serv'!A:A,'PESM Itutinga Piloes pt1'!B240,'Composição dos serv'!K:K)</f>
        <v>0</v>
      </c>
      <c r="L240" s="40">
        <f t="shared" si="62"/>
        <v>0</v>
      </c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25.5" customHeight="1">
      <c r="A241" s="33" t="str">
        <f>CONCATENATE(A239,".1")</f>
        <v>D02.1</v>
      </c>
      <c r="B241" s="33" t="s">
        <v>67</v>
      </c>
      <c r="C241" s="48" t="str">
        <f>VLOOKUP(B241,'Composição dos serv'!A:I,3,FALSE)</f>
        <v>DEMOLIÇÃO DE CALÇADAS E/OU CAMINHOS</v>
      </c>
      <c r="D241" s="48"/>
      <c r="E241" s="48"/>
      <c r="F241" s="48"/>
      <c r="G241" s="48"/>
      <c r="H241" s="48"/>
      <c r="I241" s="24"/>
      <c r="J241" s="24"/>
      <c r="K241" s="31"/>
      <c r="L241" s="32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25.5" customHeight="1">
      <c r="A242" s="26" t="str">
        <f>A241</f>
        <v>D02.1</v>
      </c>
      <c r="B242" s="26" t="s">
        <v>69</v>
      </c>
      <c r="C242" s="49" t="str">
        <f>VLOOKUP(B242,'Composição dos serv'!A:I,3,FALSE)</f>
        <v>Demolição de calçada ou caminhos</v>
      </c>
      <c r="D242" s="50" t="str">
        <f>VLOOKUP(B242,'Composição dos serv'!A:I,4,FALSE)</f>
        <v>m²</v>
      </c>
      <c r="E242" s="49">
        <v>15</v>
      </c>
      <c r="F242" s="49">
        <f>ROUNDUP(E242*0.15,2)</f>
        <v>2.25</v>
      </c>
      <c r="G242" s="51">
        <f>SUMIF('Composição dos serv'!A:A,'PESM Itutinga Piloes pt1'!B242,'Composição dos serv'!I:I)</f>
        <v>0</v>
      </c>
      <c r="H242" s="51">
        <f t="shared" ref="H242:H243" si="63">E242*G242</f>
        <v>0</v>
      </c>
      <c r="I242" s="24"/>
      <c r="J242" s="24"/>
      <c r="K242" s="39">
        <f>SUMIF('Composição dos serv'!A:A,B242,'Composição dos serv'!K:K)</f>
        <v>0.12</v>
      </c>
      <c r="L242" s="40">
        <f t="shared" ref="L242:L272" si="64">ROUNDUP(K242*E242,0)</f>
        <v>2</v>
      </c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25.5" hidden="1" customHeight="1">
      <c r="A243" s="26" t="str">
        <f>A241</f>
        <v>D02.1</v>
      </c>
      <c r="B243" s="26" t="s">
        <v>75</v>
      </c>
      <c r="C243" s="37" t="str">
        <f>VLOOKUP(B243,'Composição dos serv'!A:I,3,FALSE)</f>
        <v>Demolição de via Asfaltada, em paralelepípedo ou intertravados</v>
      </c>
      <c r="D243" s="26" t="str">
        <f>VLOOKUP(B243,'Composição dos serv'!A:I,4,FALSE)</f>
        <v>m²</v>
      </c>
      <c r="E243" s="37"/>
      <c r="F243" s="37">
        <f>ROUNDUP(E243*0.2,2)</f>
        <v>0</v>
      </c>
      <c r="G243" s="38">
        <f>SUMIF('Composição dos serv'!A:A,'PESM Itutinga Piloes pt1'!B243,'Composição dos serv'!I:I)</f>
        <v>0</v>
      </c>
      <c r="H243" s="38">
        <f t="shared" si="63"/>
        <v>0</v>
      </c>
      <c r="I243" s="24"/>
      <c r="J243" s="24"/>
      <c r="K243" s="39">
        <f>SUMIF('Composição dos serv'!A:A,B243,'Composição dos serv'!K:K)</f>
        <v>0.06</v>
      </c>
      <c r="L243" s="40">
        <f t="shared" si="64"/>
        <v>0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25.5" customHeight="1">
      <c r="A244" s="33" t="str">
        <f>CONCATENATE(A239,".2")</f>
        <v>D02.2</v>
      </c>
      <c r="B244" s="33" t="s">
        <v>85</v>
      </c>
      <c r="C244" s="34" t="str">
        <f>VLOOKUP(B244,'Composição dos serv'!A:I,3,FALSE)</f>
        <v>DEMOLIÇÃO DE MUROS E CERCAS</v>
      </c>
      <c r="D244" s="35"/>
      <c r="E244" s="35"/>
      <c r="F244" s="35"/>
      <c r="G244" s="35"/>
      <c r="H244" s="36"/>
      <c r="I244" s="24"/>
      <c r="J244" s="24"/>
      <c r="K244" s="39">
        <f>SUMIF('Composição dos serv'!A:A,B244,'Composição dos serv'!K:K)</f>
        <v>0</v>
      </c>
      <c r="L244" s="40">
        <f t="shared" si="64"/>
        <v>0</v>
      </c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25.5" hidden="1" customHeight="1">
      <c r="A245" s="26" t="str">
        <f>A244</f>
        <v>D02.2</v>
      </c>
      <c r="B245" s="26" t="s">
        <v>87</v>
      </c>
      <c r="C245" s="37" t="str">
        <f>VLOOKUP(B245,'Composição dos serv'!A:I,3,FALSE)</f>
        <v>Demolição de muro em alvenaria ou alambrados</v>
      </c>
      <c r="D245" s="26" t="str">
        <f>VLOOKUP(B245,'Composição dos serv'!A:I,4,FALSE)</f>
        <v>m</v>
      </c>
      <c r="E245" s="37"/>
      <c r="F245" s="37">
        <f>ROUNDUP(E245*0.2*2.4,2)</f>
        <v>0</v>
      </c>
      <c r="G245" s="38">
        <f>SUMIF('Composição dos serv'!A:A,'PESM Itutinga Piloes pt1'!B245,'Composição dos serv'!I:I)</f>
        <v>0</v>
      </c>
      <c r="H245" s="38">
        <f t="shared" ref="H245:H246" si="65">E245*G245</f>
        <v>0</v>
      </c>
      <c r="I245" s="24"/>
      <c r="J245" s="24"/>
      <c r="K245" s="39">
        <f>SUMIF('Composição dos serv'!A:A,B245,'Composição dos serv'!K:K)</f>
        <v>0.26</v>
      </c>
      <c r="L245" s="40">
        <f t="shared" si="64"/>
        <v>0</v>
      </c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25.5" customHeight="1">
      <c r="A246" s="26" t="str">
        <f>A244</f>
        <v>D02.2</v>
      </c>
      <c r="B246" s="26" t="s">
        <v>93</v>
      </c>
      <c r="C246" s="37" t="str">
        <f>VLOOKUP(B246,'Composição dos serv'!A:I,3,FALSE)</f>
        <v>Demolição de Cercas</v>
      </c>
      <c r="D246" s="26" t="str">
        <f>VLOOKUP(B246,'Composição dos serv'!A:I,4,FALSE)</f>
        <v>m</v>
      </c>
      <c r="E246" s="37">
        <v>125</v>
      </c>
      <c r="F246" s="37">
        <f>ROUNDUP(E246*0.1*1.8,2)</f>
        <v>22.5</v>
      </c>
      <c r="G246" s="38">
        <f>SUMIF('Composição dos serv'!A:A,'PESM Itutinga Piloes pt1'!B246,'Composição dos serv'!I:I)</f>
        <v>0</v>
      </c>
      <c r="H246" s="38">
        <f t="shared" si="65"/>
        <v>0</v>
      </c>
      <c r="I246" s="24"/>
      <c r="J246" s="24"/>
      <c r="K246" s="39">
        <f>SUMIF('Composição dos serv'!A:A,B246,'Composição dos serv'!K:K)</f>
        <v>0.06</v>
      </c>
      <c r="L246" s="40">
        <f t="shared" si="64"/>
        <v>8</v>
      </c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25.5" customHeight="1">
      <c r="A247" s="33" t="str">
        <f>CONCATENATE(A239,".3")</f>
        <v>D02.3</v>
      </c>
      <c r="B247" s="33" t="s">
        <v>99</v>
      </c>
      <c r="C247" s="48" t="str">
        <f>VLOOKUP(B247,'Composição dos serv'!A:I,3,FALSE)</f>
        <v>COBERTURA</v>
      </c>
      <c r="D247" s="48"/>
      <c r="E247" s="48"/>
      <c r="F247" s="48"/>
      <c r="G247" s="48"/>
      <c r="H247" s="48"/>
      <c r="I247" s="24"/>
      <c r="J247" s="24"/>
      <c r="K247" s="39">
        <f>SUMIF('Composição dos serv'!A:A,B247,'Composição dos serv'!K:K)</f>
        <v>0</v>
      </c>
      <c r="L247" s="40">
        <f t="shared" si="64"/>
        <v>0</v>
      </c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25.5" hidden="1" customHeight="1">
      <c r="A248" s="26" t="str">
        <f t="shared" ref="A248:A253" si="66">A247</f>
        <v>D02.3</v>
      </c>
      <c r="B248" s="26" t="s">
        <v>101</v>
      </c>
      <c r="C248" s="37" t="str">
        <f>VLOOKUP(B248,'Composição dos serv'!A:I,3,FALSE)</f>
        <v>Retirada de Estrutura de madeira sem telhas</v>
      </c>
      <c r="D248" s="26" t="str">
        <f>VLOOKUP(B248,'Composição dos serv'!A:I,4,FALSE)</f>
        <v>m²</v>
      </c>
      <c r="E248" s="37"/>
      <c r="F248" s="37">
        <f>ROUNDUP(E248*0.2,2)</f>
        <v>0</v>
      </c>
      <c r="G248" s="38">
        <f>SUMIF('Composição dos serv'!A:A,'PESM Itutinga Piloes pt1'!B248,'Composição dos serv'!I:I)</f>
        <v>0</v>
      </c>
      <c r="H248" s="38">
        <f t="shared" ref="H248:H253" si="67">E248*G248</f>
        <v>0</v>
      </c>
      <c r="I248" s="24"/>
      <c r="J248" s="24"/>
      <c r="K248" s="39">
        <f>SUMIF('Composição dos serv'!A:A,B248,'Composição dos serv'!K:K)</f>
        <v>0.03</v>
      </c>
      <c r="L248" s="40">
        <f t="shared" si="64"/>
        <v>0</v>
      </c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ht="25.5" hidden="1" customHeight="1">
      <c r="A249" s="26" t="str">
        <f t="shared" si="66"/>
        <v>D02.3</v>
      </c>
      <c r="B249" s="26" t="s">
        <v>105</v>
      </c>
      <c r="C249" s="37" t="str">
        <f>VLOOKUP(B249,'Composição dos serv'!A:I,3,FALSE)</f>
        <v>Retirada de Telhas de Barro com Estrutura em madeira (tesouras, treliças,...)</v>
      </c>
      <c r="D249" s="26" t="str">
        <f>VLOOKUP(B249,'Composição dos serv'!A:I,4,FALSE)</f>
        <v>m²</v>
      </c>
      <c r="E249" s="37"/>
      <c r="F249" s="37">
        <f>ROUNDUP(E249*0.08+E249*0.2,2)</f>
        <v>0</v>
      </c>
      <c r="G249" s="38">
        <f>SUMIF('Composição dos serv'!A:A,'PESM Itutinga Piloes pt1'!B249,'Composição dos serv'!I:I)</f>
        <v>0</v>
      </c>
      <c r="H249" s="38">
        <f t="shared" si="67"/>
        <v>0</v>
      </c>
      <c r="I249" s="24"/>
      <c r="J249" s="24"/>
      <c r="K249" s="39">
        <f>SUMIF('Composição dos serv'!A:A,B249,'Composição dos serv'!K:K)</f>
        <v>0.06</v>
      </c>
      <c r="L249" s="40">
        <f t="shared" si="64"/>
        <v>0</v>
      </c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25.5" hidden="1" customHeight="1">
      <c r="A250" s="26" t="str">
        <f t="shared" si="66"/>
        <v>D02.3</v>
      </c>
      <c r="B250" s="26" t="s">
        <v>111</v>
      </c>
      <c r="C250" s="37" t="str">
        <f>VLOOKUP(B250,'Composição dos serv'!A:I,3,FALSE)</f>
        <v>Retirada de Telhas de amianto Sem Estrutura</v>
      </c>
      <c r="D250" s="26" t="str">
        <f>VLOOKUP(B250,'Composição dos serv'!A:I,4,FALSE)</f>
        <v>m²</v>
      </c>
      <c r="E250" s="37"/>
      <c r="F250" s="37"/>
      <c r="G250" s="38">
        <f>SUMIF('Composição dos serv'!A:A,'PESM Itutinga Piloes pt1'!B250,'Composição dos serv'!I:I)</f>
        <v>0</v>
      </c>
      <c r="H250" s="38">
        <f t="shared" si="67"/>
        <v>0</v>
      </c>
      <c r="I250" s="24"/>
      <c r="J250" s="24"/>
      <c r="K250" s="39">
        <f>SUMIF('Composição dos serv'!A:A,B250,'Composição dos serv'!K:K)</f>
        <v>0.02</v>
      </c>
      <c r="L250" s="40">
        <f t="shared" si="64"/>
        <v>0</v>
      </c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25.5" customHeight="1">
      <c r="A251" s="26" t="str">
        <f t="shared" si="66"/>
        <v>D02.3</v>
      </c>
      <c r="B251" s="26" t="s">
        <v>117</v>
      </c>
      <c r="C251" s="37" t="str">
        <f>VLOOKUP(B251,'Composição dos serv'!A:I,3,FALSE)</f>
        <v>Retirada de Telhas de amianto com Estrutura em madeira (tesouras, treliças,...)</v>
      </c>
      <c r="D251" s="26" t="str">
        <f>VLOOKUP(B251,'Composição dos serv'!A:I,4,FALSE)</f>
        <v>m²</v>
      </c>
      <c r="E251" s="37">
        <v>60</v>
      </c>
      <c r="F251" s="37">
        <f>ROUNDUP(E251*0.1,2)</f>
        <v>6</v>
      </c>
      <c r="G251" s="38">
        <f>SUMIF('Composição dos serv'!A:A,'PESM Itutinga Piloes pt1'!B251,'Composição dos serv'!I:I)</f>
        <v>0</v>
      </c>
      <c r="H251" s="38">
        <f t="shared" si="67"/>
        <v>0</v>
      </c>
      <c r="I251" s="24"/>
      <c r="J251" s="24"/>
      <c r="K251" s="39">
        <f>SUMIF('Composição dos serv'!A:A,B251,'Composição dos serv'!K:K)</f>
        <v>0.04</v>
      </c>
      <c r="L251" s="40">
        <f t="shared" si="64"/>
        <v>3</v>
      </c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25.5" hidden="1" customHeight="1">
      <c r="A252" s="26" t="str">
        <f t="shared" si="66"/>
        <v>D02.3</v>
      </c>
      <c r="B252" s="26" t="s">
        <v>121</v>
      </c>
      <c r="C252" s="37" t="str">
        <f>VLOOKUP(B252,'Composição dos serv'!A:I,3,FALSE)</f>
        <v>Retirada de Laje em concreto</v>
      </c>
      <c r="D252" s="26" t="str">
        <f>VLOOKUP(B252,'Composição dos serv'!A:I,4,FALSE)</f>
        <v>m²</v>
      </c>
      <c r="E252" s="37"/>
      <c r="F252" s="37">
        <f>ROUNDUP(E252*0.12,2)</f>
        <v>0</v>
      </c>
      <c r="G252" s="38">
        <f>SUMIF('Composição dos serv'!A:A,'PESM Itutinga Piloes pt1'!B252,'Composição dos serv'!I:I)</f>
        <v>0</v>
      </c>
      <c r="H252" s="38">
        <f t="shared" si="67"/>
        <v>0</v>
      </c>
      <c r="I252" s="24"/>
      <c r="J252" s="24"/>
      <c r="K252" s="39">
        <f>SUMIF('Composição dos serv'!A:A,B252,'Composição dos serv'!K:K)</f>
        <v>0.09</v>
      </c>
      <c r="L252" s="40">
        <f t="shared" si="64"/>
        <v>0</v>
      </c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25.5" customHeight="1">
      <c r="A253" s="26" t="str">
        <f t="shared" si="66"/>
        <v>D02.3</v>
      </c>
      <c r="B253" s="26" t="s">
        <v>129</v>
      </c>
      <c r="C253" s="37" t="str">
        <f>VLOOKUP(B253,'Composição dos serv'!A:I,3,FALSE)</f>
        <v>Retirada de Forros qualquer com sistema de fixação</v>
      </c>
      <c r="D253" s="26" t="str">
        <f>VLOOKUP(B253,'Composição dos serv'!A:I,4,FALSE)</f>
        <v>m²</v>
      </c>
      <c r="E253" s="37">
        <v>30</v>
      </c>
      <c r="F253" s="37">
        <f>ROUNDUP(E253*0.1,2)</f>
        <v>3</v>
      </c>
      <c r="G253" s="38">
        <f>SUMIF('Composição dos serv'!A:A,'PESM Itutinga Piloes pt1'!B253,'Composição dos serv'!I:I)</f>
        <v>0</v>
      </c>
      <c r="H253" s="38">
        <f t="shared" si="67"/>
        <v>0</v>
      </c>
      <c r="I253" s="24"/>
      <c r="J253" s="24"/>
      <c r="K253" s="39">
        <f>SUMIF('Composição dos serv'!A:A,B253,'Composição dos serv'!K:K)</f>
        <v>0.04</v>
      </c>
      <c r="L253" s="40">
        <f t="shared" si="64"/>
        <v>2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25.5" customHeight="1">
      <c r="A254" s="33" t="str">
        <f>CONCATENATE(A239,".4")</f>
        <v>D02.4</v>
      </c>
      <c r="B254" s="33" t="s">
        <v>133</v>
      </c>
      <c r="C254" s="34" t="str">
        <f>VLOOKUP(B254,'Composição dos serv'!A:I,3,FALSE)</f>
        <v>PAREDES</v>
      </c>
      <c r="D254" s="35"/>
      <c r="E254" s="35"/>
      <c r="F254" s="35"/>
      <c r="G254" s="35"/>
      <c r="H254" s="36"/>
      <c r="I254" s="24"/>
      <c r="J254" s="24"/>
      <c r="K254" s="39">
        <f>SUMIF('Composição dos serv'!A:A,B254,'Composição dos serv'!K:K)</f>
        <v>0</v>
      </c>
      <c r="L254" s="40">
        <f t="shared" si="64"/>
        <v>0</v>
      </c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25.5" customHeight="1">
      <c r="A255" s="26" t="str">
        <f>A254</f>
        <v>D02.4</v>
      </c>
      <c r="B255" s="26" t="s">
        <v>135</v>
      </c>
      <c r="C255" s="37" t="str">
        <f>VLOOKUP(B255,'Composição dos serv'!A:I,3,FALSE)</f>
        <v>Parede em Alvenaria - usar área construida</v>
      </c>
      <c r="D255" s="26" t="str">
        <f>VLOOKUP(B255,'Composição dos serv'!A:I,4,FALSE)</f>
        <v>m²</v>
      </c>
      <c r="E255" s="49">
        <v>60</v>
      </c>
      <c r="F255" s="37">
        <f>ROUNDUP(E255*0.8,2)</f>
        <v>48</v>
      </c>
      <c r="G255" s="38">
        <f>SUMIF('Composição dos serv'!A:A,B255,'Composição dos serv'!I:I)</f>
        <v>0</v>
      </c>
      <c r="H255" s="38">
        <f t="shared" ref="H255:H257" si="68">E255*G255</f>
        <v>0</v>
      </c>
      <c r="I255" s="24"/>
      <c r="J255" s="24"/>
      <c r="K255" s="39">
        <f>SUMIF('Composição dos serv'!A:A,B255,'Composição dos serv'!K:K)</f>
        <v>0.15000000000000002</v>
      </c>
      <c r="L255" s="40">
        <f t="shared" si="64"/>
        <v>9</v>
      </c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25.5" hidden="1" customHeight="1">
      <c r="A256" s="26" t="str">
        <f>A254</f>
        <v>D02.4</v>
      </c>
      <c r="B256" s="26" t="s">
        <v>143</v>
      </c>
      <c r="C256" s="37" t="str">
        <f>VLOOKUP(B256,'Composição dos serv'!A:I,3,FALSE)</f>
        <v>Parede em Madeirite - Chapas de madeira compensada ou aglomerada - área construída</v>
      </c>
      <c r="D256" s="26" t="str">
        <f>VLOOKUP(B256,'Composição dos serv'!A:I,4,FALSE)</f>
        <v>m²</v>
      </c>
      <c r="E256" s="37"/>
      <c r="F256" s="37">
        <f>ROUNDUP(E256*0.21,2)</f>
        <v>0</v>
      </c>
      <c r="G256" s="38">
        <f>SUMIF('Composição dos serv'!A:A,B256,'Composição dos serv'!I:I)</f>
        <v>0</v>
      </c>
      <c r="H256" s="38">
        <f t="shared" si="68"/>
        <v>0</v>
      </c>
      <c r="I256" s="24"/>
      <c r="J256" s="24"/>
      <c r="K256" s="39">
        <f>SUMIF('Composição dos serv'!A:A,B256,'Composição dos serv'!K:K)</f>
        <v>0.15000000000000002</v>
      </c>
      <c r="L256" s="40">
        <f t="shared" si="64"/>
        <v>0</v>
      </c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25.5" hidden="1" customHeight="1">
      <c r="A257" s="26" t="str">
        <f>A254</f>
        <v>D02.4</v>
      </c>
      <c r="B257" s="26" t="s">
        <v>145</v>
      </c>
      <c r="C257" s="37" t="str">
        <f>VLOOKUP(B257,'Composição dos serv'!A:I,3,FALSE)</f>
        <v>Parede em Lambril de madeira - área construída</v>
      </c>
      <c r="D257" s="26" t="str">
        <f>VLOOKUP(B257,'Composição dos serv'!A:I,4,FALSE)</f>
        <v>m²</v>
      </c>
      <c r="E257" s="37"/>
      <c r="F257" s="37">
        <f>ROUNDUP(E257*4*0.12,2)</f>
        <v>0</v>
      </c>
      <c r="G257" s="38">
        <f>SUMIF('Composição dos serv'!A:A,B257,'Composição dos serv'!I:I)</f>
        <v>0</v>
      </c>
      <c r="H257" s="38">
        <f t="shared" si="68"/>
        <v>0</v>
      </c>
      <c r="I257" s="24"/>
      <c r="J257" s="24"/>
      <c r="K257" s="39">
        <f>SUMIF('Composição dos serv'!A:A,B257,'Composição dos serv'!K:K)</f>
        <v>0.35000000000000009</v>
      </c>
      <c r="L257" s="40">
        <f t="shared" si="64"/>
        <v>0</v>
      </c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25.5" customHeight="1">
      <c r="A258" s="33" t="str">
        <f>CONCATENATE(A239,".5")</f>
        <v>D02.5</v>
      </c>
      <c r="B258" s="33" t="s">
        <v>153</v>
      </c>
      <c r="C258" s="34" t="str">
        <f>VLOOKUP(B258,'Composição dos serv'!A:I,3,FALSE)</f>
        <v>PISO E FUNDAÇÃO</v>
      </c>
      <c r="D258" s="35"/>
      <c r="E258" s="35"/>
      <c r="F258" s="35"/>
      <c r="G258" s="35"/>
      <c r="H258" s="36"/>
      <c r="I258" s="24"/>
      <c r="J258" s="24"/>
      <c r="K258" s="39">
        <f>SUMIF('Composição dos serv'!A:A,B258,'Composição dos serv'!K:K)</f>
        <v>0</v>
      </c>
      <c r="L258" s="40">
        <f t="shared" si="64"/>
        <v>0</v>
      </c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25.5" hidden="1" customHeight="1">
      <c r="A259" s="26" t="str">
        <f>A258</f>
        <v>D02.5</v>
      </c>
      <c r="B259" s="26" t="s">
        <v>155</v>
      </c>
      <c r="C259" s="37" t="str">
        <f>VLOOKUP(B259,'Composição dos serv'!A:I,3,FALSE)</f>
        <v>Piso da edificação com fundação</v>
      </c>
      <c r="D259" s="26" t="str">
        <f>VLOOKUP(B259,'Composição dos serv'!A:I,4,FALSE)</f>
        <v>m²</v>
      </c>
      <c r="E259" s="37"/>
      <c r="F259" s="37">
        <f>ROUNDUP(E259*0.24,2)</f>
        <v>0</v>
      </c>
      <c r="G259" s="38">
        <f>SUMIF('Composição dos serv'!A:A,B259,'Composição dos serv'!I:I)</f>
        <v>0</v>
      </c>
      <c r="H259" s="38">
        <f>E259*G259</f>
        <v>0</v>
      </c>
      <c r="I259" s="24"/>
      <c r="J259" s="24"/>
      <c r="K259" s="39">
        <f>SUMIF('Composição dos serv'!A:A,B259,'Composição dos serv'!K:K)</f>
        <v>0.17</v>
      </c>
      <c r="L259" s="40">
        <f t="shared" si="64"/>
        <v>0</v>
      </c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25.5" customHeight="1">
      <c r="A260" s="33" t="str">
        <f>CONCATENATE(A239,".6")</f>
        <v>D02.6</v>
      </c>
      <c r="B260" s="33" t="s">
        <v>161</v>
      </c>
      <c r="C260" s="48" t="str">
        <f>VLOOKUP(B260,'Composição dos serv'!A:I,3,FALSE)</f>
        <v>ESTRUTURAS DIVERSAS</v>
      </c>
      <c r="D260" s="48"/>
      <c r="E260" s="48"/>
      <c r="F260" s="48"/>
      <c r="G260" s="48"/>
      <c r="H260" s="48"/>
      <c r="I260" s="24"/>
      <c r="J260" s="24"/>
      <c r="K260" s="39">
        <f>SUMIF('Composição dos serv'!A:A,B260,'Composição dos serv'!K:K)</f>
        <v>0</v>
      </c>
      <c r="L260" s="40">
        <f t="shared" si="64"/>
        <v>0</v>
      </c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25.5" hidden="1" customHeight="1">
      <c r="A261" s="26" t="str">
        <f>A260</f>
        <v>D02.6</v>
      </c>
      <c r="B261" s="26" t="s">
        <v>163</v>
      </c>
      <c r="C261" s="37" t="str">
        <f>VLOOKUP(B261,'Composição dos serv'!A:I,3,FALSE)</f>
        <v>Escada em concreto com corrimão</v>
      </c>
      <c r="D261" s="26" t="str">
        <f>VLOOKUP(B261,'Composição dos serv'!A:I,4,FALSE)</f>
        <v>m</v>
      </c>
      <c r="E261" s="49"/>
      <c r="F261" s="37">
        <f>ROUNDUP(E261*1.2*0.25,2)</f>
        <v>0</v>
      </c>
      <c r="G261" s="38">
        <f>SUMIF('Composição dos serv'!A:A,'PESM Itutinga Piloes pt1'!B261,'Composição dos serv'!I:I)</f>
        <v>0</v>
      </c>
      <c r="H261" s="38">
        <f t="shared" ref="H261:H264" si="69">E261*G261</f>
        <v>0</v>
      </c>
      <c r="I261" s="24"/>
      <c r="J261" s="24"/>
      <c r="K261" s="39">
        <f>SUMIF('Composição dos serv'!A:A,B261,'Composição dos serv'!K:K)</f>
        <v>0.39</v>
      </c>
      <c r="L261" s="40">
        <f t="shared" si="64"/>
        <v>0</v>
      </c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25.5" customHeight="1">
      <c r="A262" s="26" t="str">
        <f>A260</f>
        <v>D02.6</v>
      </c>
      <c r="B262" s="26" t="s">
        <v>169</v>
      </c>
      <c r="C262" s="37" t="str">
        <f>VLOOKUP(B262,'Composição dos serv'!A:I,3,FALSE)</f>
        <v>Entrada de Energia - medidor</v>
      </c>
      <c r="D262" s="26" t="str">
        <f>VLOOKUP(B262,'Composição dos serv'!A:I,4,FALSE)</f>
        <v>un</v>
      </c>
      <c r="E262" s="37">
        <v>1</v>
      </c>
      <c r="F262" s="37">
        <f>ROUNDUP(E262*(3.2+(((3.1415*0.4^2)/4)*6)),2)</f>
        <v>3.96</v>
      </c>
      <c r="G262" s="38">
        <f>SUMIF('Composição dos serv'!A:A,'PESM Itutinga Piloes pt1'!B262,'Composição dos serv'!I:I)</f>
        <v>0</v>
      </c>
      <c r="H262" s="38">
        <f t="shared" si="69"/>
        <v>0</v>
      </c>
      <c r="I262" s="24"/>
      <c r="J262" s="24"/>
      <c r="K262" s="39">
        <f>SUMIF('Composição dos serv'!A:A,B262,'Composição dos serv'!K:K)</f>
        <v>1.7600000000000002</v>
      </c>
      <c r="L262" s="40">
        <f t="shared" si="64"/>
        <v>2</v>
      </c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25.5" customHeight="1">
      <c r="A263" s="26" t="str">
        <f>A260</f>
        <v>D02.6</v>
      </c>
      <c r="B263" s="26" t="s">
        <v>183</v>
      </c>
      <c r="C263" s="37" t="str">
        <f>VLOOKUP(B263,'Composição dos serv'!A:I,3,FALSE)</f>
        <v>Hidrômetro com abrigo</v>
      </c>
      <c r="D263" s="26" t="str">
        <f>VLOOKUP(B263,'Composição dos serv'!A:I,4,FALSE)</f>
        <v>un</v>
      </c>
      <c r="E263" s="37">
        <v>1</v>
      </c>
      <c r="F263" s="37">
        <f>ROUNDUP(E263*(1.7+0.1),2)</f>
        <v>1.8</v>
      </c>
      <c r="G263" s="38">
        <f>SUMIF('Composição dos serv'!A:A,'PESM Itutinga Piloes pt1'!B263,'Composição dos serv'!I:I)</f>
        <v>0</v>
      </c>
      <c r="H263" s="38">
        <f t="shared" si="69"/>
        <v>0</v>
      </c>
      <c r="I263" s="24"/>
      <c r="J263" s="24"/>
      <c r="K263" s="39">
        <f>SUMIF('Composição dos serv'!A:A,B263,'Composição dos serv'!K:K)</f>
        <v>0.44000000000000006</v>
      </c>
      <c r="L263" s="40">
        <f t="shared" si="64"/>
        <v>1</v>
      </c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25.5" customHeight="1">
      <c r="A264" s="26" t="str">
        <f>A262</f>
        <v>D02.6</v>
      </c>
      <c r="B264" s="26" t="s">
        <v>191</v>
      </c>
      <c r="C264" s="37" t="str">
        <f>VLOOKUP(B264,'Composição dos serv'!A:I,3,FALSE)</f>
        <v>Aterro de Fossa com retirada de tampa</v>
      </c>
      <c r="D264" s="26" t="str">
        <f>VLOOKUP(B264,'Composição dos serv'!A:I,4,FALSE)</f>
        <v>un</v>
      </c>
      <c r="E264" s="37">
        <v>1</v>
      </c>
      <c r="F264" s="37">
        <f>ROUNDUP(E264*(0.4),2)</f>
        <v>0.4</v>
      </c>
      <c r="G264" s="38">
        <f>SUMIF('Composição dos serv'!A:A,'PESM Itutinga Piloes pt1'!B264,'Composição dos serv'!I:I)</f>
        <v>0</v>
      </c>
      <c r="H264" s="38">
        <f t="shared" si="69"/>
        <v>0</v>
      </c>
      <c r="I264" s="24"/>
      <c r="J264" s="24"/>
      <c r="K264" s="39">
        <f>SUMIF('Composição dos serv'!A:A,B264,'Composição dos serv'!K:K)</f>
        <v>0.85000000000000009</v>
      </c>
      <c r="L264" s="40">
        <f t="shared" si="64"/>
        <v>1</v>
      </c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25.5" customHeight="1">
      <c r="A265" s="33" t="str">
        <f>CONCATENATE(A239,".7")</f>
        <v>D02.7</v>
      </c>
      <c r="B265" s="33" t="s">
        <v>195</v>
      </c>
      <c r="C265" s="48" t="str">
        <f>VLOOKUP(B265,'Composição dos serv'!A:I,3,FALSE)</f>
        <v>ACABAMENTOS DIVERSOS e OUTROS</v>
      </c>
      <c r="D265" s="48"/>
      <c r="E265" s="48"/>
      <c r="F265" s="48"/>
      <c r="G265" s="48"/>
      <c r="H265" s="48"/>
      <c r="I265" s="24"/>
      <c r="J265" s="24"/>
      <c r="K265" s="39">
        <f>SUMIF('Composição dos serv'!A:A,B265,'Composição dos serv'!K:K)</f>
        <v>0</v>
      </c>
      <c r="L265" s="40">
        <f t="shared" si="64"/>
        <v>0</v>
      </c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25.5" customHeight="1">
      <c r="A266" s="26" t="str">
        <f>A265</f>
        <v>D02.7</v>
      </c>
      <c r="B266" s="50" t="s">
        <v>197</v>
      </c>
      <c r="C266" s="49" t="str">
        <f>VLOOKUP(B266,'Composição dos serv'!A:I,3,FALSE)</f>
        <v>Remoção de aparelhos sanitarios - por banheiro</v>
      </c>
      <c r="D266" s="50" t="str">
        <f>VLOOKUP(B266,'Composição dos serv'!A:I,4,FALSE)</f>
        <v>unid</v>
      </c>
      <c r="E266" s="49">
        <v>1</v>
      </c>
      <c r="F266" s="37">
        <f t="shared" ref="F266:F268" si="70">ROUNDUP(E266*1,2)</f>
        <v>1</v>
      </c>
      <c r="G266" s="51">
        <f>SUMIF('Composição dos serv'!A:A,B266,'Composição dos serv'!I:I)</f>
        <v>0</v>
      </c>
      <c r="H266" s="51">
        <f t="shared" ref="H266:H272" si="71">E266*G266</f>
        <v>0</v>
      </c>
      <c r="I266" s="24"/>
      <c r="J266" s="24"/>
      <c r="K266" s="39">
        <f>SUMIF('Composição dos serv'!A:A,B266,'Composição dos serv'!K:K)</f>
        <v>0.19</v>
      </c>
      <c r="L266" s="40">
        <f t="shared" si="64"/>
        <v>1</v>
      </c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25.5" customHeight="1">
      <c r="A267" s="26" t="str">
        <f>A265</f>
        <v>D02.7</v>
      </c>
      <c r="B267" s="50" t="s">
        <v>209</v>
      </c>
      <c r="C267" s="37" t="str">
        <f>VLOOKUP(B267,'Composição dos serv'!A:I,3,FALSE)</f>
        <v>Remoção de aparelhos sanitarios - Cozinha e Área de Serviço</v>
      </c>
      <c r="D267" s="26" t="str">
        <f>VLOOKUP(B267,'Composição dos serv'!A:I,4,FALSE)</f>
        <v>unid</v>
      </c>
      <c r="E267" s="37">
        <v>1</v>
      </c>
      <c r="F267" s="37">
        <f t="shared" si="70"/>
        <v>1</v>
      </c>
      <c r="G267" s="51">
        <f>SUMIF('Composição dos serv'!A:A,B267,'Composição dos serv'!I:I)</f>
        <v>0</v>
      </c>
      <c r="H267" s="38">
        <f t="shared" si="71"/>
        <v>0</v>
      </c>
      <c r="I267" s="24"/>
      <c r="J267" s="24"/>
      <c r="K267" s="39">
        <f>SUMIF('Composição dos serv'!A:A,B267,'Composição dos serv'!K:K)</f>
        <v>0.21</v>
      </c>
      <c r="L267" s="40">
        <f t="shared" si="64"/>
        <v>1</v>
      </c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25.5" customHeight="1">
      <c r="A268" s="26" t="str">
        <f>A265</f>
        <v>D02.7</v>
      </c>
      <c r="B268" s="50" t="s">
        <v>215</v>
      </c>
      <c r="C268" s="37" t="str">
        <f>VLOOKUP(B268,'Composição dos serv'!A:I,3,FALSE)</f>
        <v>Remoção de caixa d'agua</v>
      </c>
      <c r="D268" s="26" t="str">
        <f>VLOOKUP(B268,'Composição dos serv'!A:I,4,FALSE)</f>
        <v>unid</v>
      </c>
      <c r="E268" s="37">
        <v>1</v>
      </c>
      <c r="F268" s="37">
        <f t="shared" si="70"/>
        <v>1</v>
      </c>
      <c r="G268" s="51">
        <f>SUMIF('Composição dos serv'!A:A,B268,'Composição dos serv'!I:I)</f>
        <v>0</v>
      </c>
      <c r="H268" s="38">
        <f t="shared" si="71"/>
        <v>0</v>
      </c>
      <c r="I268" s="24"/>
      <c r="J268" s="24"/>
      <c r="K268" s="39">
        <f>SUMIF('Composição dos serv'!A:A,B268,'Composição dos serv'!K:K)</f>
        <v>0.42000000000000004</v>
      </c>
      <c r="L268" s="40">
        <f t="shared" si="64"/>
        <v>1</v>
      </c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25.5" hidden="1" customHeight="1">
      <c r="A269" s="26" t="str">
        <f>A265</f>
        <v>D02.7</v>
      </c>
      <c r="B269" s="50" t="s">
        <v>219</v>
      </c>
      <c r="C269" s="37" t="str">
        <f>VLOOKUP(B269,'Composição dos serv'!A:I,3,FALSE)</f>
        <v>Remoção do Sistema de Para raios - área do telhado</v>
      </c>
      <c r="D269" s="26" t="str">
        <f>VLOOKUP(B269,'Composição dos serv'!A:I,4,FALSE)</f>
        <v>m²</v>
      </c>
      <c r="E269" s="37"/>
      <c r="F269" s="37">
        <f>ROUNDUP(E269/60,2)</f>
        <v>0</v>
      </c>
      <c r="G269" s="51">
        <f>SUMIF('Composição dos serv'!A:A,B269,'Composição dos serv'!I:I)</f>
        <v>0</v>
      </c>
      <c r="H269" s="38">
        <f t="shared" si="71"/>
        <v>0</v>
      </c>
      <c r="I269" s="24"/>
      <c r="J269" s="24"/>
      <c r="K269" s="39">
        <f>SUMIF('Composição dos serv'!A:A,B269,'Composição dos serv'!K:K)</f>
        <v>0.05</v>
      </c>
      <c r="L269" s="40">
        <f t="shared" si="64"/>
        <v>0</v>
      </c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25.5" customHeight="1">
      <c r="A270" s="26" t="str">
        <f>A265</f>
        <v>D02.7</v>
      </c>
      <c r="B270" s="50" t="s">
        <v>227</v>
      </c>
      <c r="C270" s="37" t="str">
        <f>VLOOKUP(B270,'Composição dos serv'!A:I,3,FALSE)</f>
        <v>Janelas</v>
      </c>
      <c r="D270" s="26" t="str">
        <f>VLOOKUP(B270,'Composição dos serv'!A:I,4,FALSE)</f>
        <v>un</v>
      </c>
      <c r="E270" s="37">
        <v>8</v>
      </c>
      <c r="F270" s="37">
        <f>ROUNDUP(E270*1.5*1.2*0.2,2)</f>
        <v>2.88</v>
      </c>
      <c r="G270" s="51">
        <f>SUMIF('Composição dos serv'!A:A,B270,'Composição dos serv'!I:I)</f>
        <v>0</v>
      </c>
      <c r="H270" s="38">
        <f t="shared" si="71"/>
        <v>0</v>
      </c>
      <c r="I270" s="24"/>
      <c r="J270" s="24"/>
      <c r="K270" s="39">
        <f>SUMIF('Composição dos serv'!A:A,B270,'Composição dos serv'!K:K)</f>
        <v>0</v>
      </c>
      <c r="L270" s="40">
        <f t="shared" si="64"/>
        <v>0</v>
      </c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25.5" customHeight="1">
      <c r="A271" s="26" t="str">
        <f>A265</f>
        <v>D02.7</v>
      </c>
      <c r="B271" s="50" t="s">
        <v>234</v>
      </c>
      <c r="C271" s="37" t="str">
        <f>VLOOKUP(B271,'Composição dos serv'!A:I,3,FALSE)</f>
        <v>Portas</v>
      </c>
      <c r="D271" s="26" t="str">
        <f>VLOOKUP(B271,'Composição dos serv'!A:I,4,FALSE)</f>
        <v>un</v>
      </c>
      <c r="E271" s="37">
        <v>4</v>
      </c>
      <c r="F271" s="37">
        <f>ROUNDUP(E271*2.1*0.9*0.2,2)</f>
        <v>1.52</v>
      </c>
      <c r="G271" s="51">
        <f>SUMIF('Composição dos serv'!A:A,B271,'Composição dos serv'!I:I)</f>
        <v>0</v>
      </c>
      <c r="H271" s="38">
        <f t="shared" si="71"/>
        <v>0</v>
      </c>
      <c r="I271" s="24"/>
      <c r="J271" s="24"/>
      <c r="K271" s="39">
        <f>SUMIF('Composição dos serv'!A:A,B271,'Composição dos serv'!K:K)</f>
        <v>0</v>
      </c>
      <c r="L271" s="40">
        <f t="shared" si="64"/>
        <v>0</v>
      </c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25.5" hidden="1" customHeight="1">
      <c r="A272" s="26" t="str">
        <f>A265</f>
        <v>D02.7</v>
      </c>
      <c r="B272" s="50" t="s">
        <v>236</v>
      </c>
      <c r="C272" s="37" t="str">
        <f>VLOOKUP(B272,'Composição dos serv'!A:I,3,FALSE)</f>
        <v>Guarda corpo de metal</v>
      </c>
      <c r="D272" s="26" t="str">
        <f>VLOOKUP(B272,'Composição dos serv'!A:I,4,FALSE)</f>
        <v>m</v>
      </c>
      <c r="E272" s="37"/>
      <c r="F272" s="37">
        <f>ROUNDUP(E272*1.7*0.05,2)</f>
        <v>0</v>
      </c>
      <c r="G272" s="51">
        <f>SUMIF('Composição dos serv'!A:A,B272,'Composição dos serv'!I:I)</f>
        <v>0</v>
      </c>
      <c r="H272" s="38">
        <f t="shared" si="71"/>
        <v>0</v>
      </c>
      <c r="I272" s="24"/>
      <c r="J272" s="24"/>
      <c r="K272" s="39">
        <f>SUMIF('Composição dos serv'!A:A,B272,'Composição dos serv'!K:K)</f>
        <v>0</v>
      </c>
      <c r="L272" s="40">
        <f t="shared" si="64"/>
        <v>0</v>
      </c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25.5" customHeight="1">
      <c r="A273" s="33" t="str">
        <f>CONCATENATE(A239,".8")</f>
        <v>D02.8</v>
      </c>
      <c r="B273" s="33" t="s">
        <v>240</v>
      </c>
      <c r="C273" s="48" t="str">
        <f>VLOOKUP(B273,'Composição dos serv'!A:I,3,FALSE)</f>
        <v>ENTULHO</v>
      </c>
      <c r="D273" s="48"/>
      <c r="E273" s="48"/>
      <c r="F273" s="48"/>
      <c r="G273" s="48"/>
      <c r="H273" s="48"/>
      <c r="I273" s="24"/>
      <c r="J273" s="24"/>
      <c r="K273" s="39">
        <f>SUMIF('Composição dos serv'!A:A,B273,'Composição dos serv'!K:K)</f>
        <v>0</v>
      </c>
      <c r="L273" s="40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25.5" hidden="1" customHeight="1">
      <c r="A274" s="26" t="str">
        <f>A273</f>
        <v>D02.8</v>
      </c>
      <c r="B274" s="50" t="s">
        <v>242</v>
      </c>
      <c r="C274" s="49" t="str">
        <f>VLOOKUP(B274,'Composição dos serv'!A:I,3,FALSE)</f>
        <v>Transporte e espalhamento Manual do entulho a ser reutilizado</v>
      </c>
      <c r="D274" s="50" t="s">
        <v>291</v>
      </c>
      <c r="E274" s="49"/>
      <c r="F274" s="52">
        <f>IF(E274=1,ROUNDUP((IF(E242&lt;&gt;"",F242,0)+IF(E243&lt;&gt;"",F243,0)+IF(E245&lt;&gt;"",F245,0)+IF(E246&lt;&gt;"",F246*0.34,0)+IF(E249&lt;&gt;"",F249*0.43,0)+IF(E252&lt;&gt;"",F252*0.8,0)+IF(E255&lt;&gt;"",F255*(0.78),0)+IF(E259&lt;&gt;"",F259*0.98,0)+IF(E261&lt;&gt;"",F261*0.91,0)+IF(E262&lt;&gt;"",F262*0.26,0)+IF(E263&lt;&gt;"",F263*0.24,0)+IF(E264&lt;&gt;"",F264,0)),2),0)</f>
        <v>0</v>
      </c>
      <c r="G274" s="51">
        <f>SUMIF('Composição dos serv'!A:A,B274,'Composição dos serv'!I:I)</f>
        <v>0</v>
      </c>
      <c r="H274" s="51">
        <f t="shared" ref="H274:H275" si="72">F274*G274</f>
        <v>0</v>
      </c>
      <c r="I274" s="24"/>
      <c r="J274" s="24"/>
      <c r="K274" s="39">
        <f>SUMIF('Composição dos serv'!A:A,B274,'Composição dos serv'!K:K)</f>
        <v>0.15000000000000002</v>
      </c>
      <c r="L274" s="40">
        <f t="shared" ref="L274:L277" si="73">ROUNDUP(K274*F274,0)</f>
        <v>0</v>
      </c>
      <c r="M274" s="45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25.5" hidden="1" customHeight="1">
      <c r="A275" s="26" t="str">
        <f>A273</f>
        <v>D02.8</v>
      </c>
      <c r="B275" s="50" t="s">
        <v>246</v>
      </c>
      <c r="C275" s="49" t="str">
        <f>VLOOKUP(B275,'Composição dos serv'!A:I,3,FALSE)</f>
        <v>Remoção e Transporte Mecanizado do entulho a ser reutilizado</v>
      </c>
      <c r="D275" s="50" t="s">
        <v>291</v>
      </c>
      <c r="E275" s="49"/>
      <c r="F275" s="52">
        <f>IF(E275=1,SUM(F242:F272)-H279,0)</f>
        <v>0</v>
      </c>
      <c r="G275" s="51">
        <f>SUMIF('Composição dos serv'!A:A,B275,'Composição dos serv'!I:I)</f>
        <v>0</v>
      </c>
      <c r="H275" s="51">
        <f t="shared" si="72"/>
        <v>0</v>
      </c>
      <c r="I275" s="24"/>
      <c r="J275" s="24"/>
      <c r="K275" s="39">
        <f>SUMIF('Composição dos serv'!A:A,B275,'Composição dos serv'!K:K)</f>
        <v>0.02</v>
      </c>
      <c r="L275" s="40">
        <f t="shared" si="73"/>
        <v>0</v>
      </c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25.5" hidden="1" customHeight="1">
      <c r="A276" s="26" t="str">
        <f>A273</f>
        <v>D02.8</v>
      </c>
      <c r="B276" s="50" t="s">
        <v>252</v>
      </c>
      <c r="C276" s="49" t="str">
        <f>VLOOKUP(B276,'Composição dos serv'!A:I,3,FALSE)</f>
        <v>Remoção do entulho com caçamba</v>
      </c>
      <c r="D276" s="50" t="s">
        <v>291</v>
      </c>
      <c r="E276" s="49"/>
      <c r="F276" s="52">
        <f>IF(E276=1,SUM(F242:F272),0)</f>
        <v>0</v>
      </c>
      <c r="G276" s="51">
        <f>SUMIF('Composição dos serv'!A:A,B276,'Composição dos serv'!I:I)</f>
        <v>0</v>
      </c>
      <c r="H276" s="51">
        <f>IF(E276&gt;1,"OPÇÃO ERRADA",F276*G276)+IF(G279=1,H279*G276,0)</f>
        <v>0</v>
      </c>
      <c r="I276" s="24"/>
      <c r="J276" s="24"/>
      <c r="K276" s="39">
        <f>SUMIF('Composição dos serv'!A:A,B276,'Composição dos serv'!K:K)</f>
        <v>0.02</v>
      </c>
      <c r="L276" s="40">
        <f t="shared" si="73"/>
        <v>0</v>
      </c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25.5" customHeight="1">
      <c r="A277" s="26" t="str">
        <f>A273</f>
        <v>D02.8</v>
      </c>
      <c r="B277" s="50" t="s">
        <v>256</v>
      </c>
      <c r="C277" s="49" t="str">
        <f>VLOOKUP(B277,'Composição dos serv'!A:I,3,FALSE)</f>
        <v>Remoção e Transporte Mecanizado do entulho para bota fora</v>
      </c>
      <c r="D277" s="50" t="s">
        <v>291</v>
      </c>
      <c r="E277" s="49">
        <v>1</v>
      </c>
      <c r="F277" s="52">
        <f>IF(E277=1,SUM(F242:F272),0)</f>
        <v>95.309999999999988</v>
      </c>
      <c r="G277" s="51">
        <f>SUMIF('Composição dos serv'!A:A,B277,'Composição dos serv'!I:I)</f>
        <v>0</v>
      </c>
      <c r="H277" s="51">
        <f>IF(E277&gt;1,"OPÇÃO ERRADA",F277*G277)+IF(G279=2,H279*G277,0)</f>
        <v>0</v>
      </c>
      <c r="I277" s="24"/>
      <c r="J277" s="24"/>
      <c r="K277" s="39">
        <f>SUMIF('Composição dos serv'!A:A,B277,'Composição dos serv'!K:K)</f>
        <v>7.9999999999999988E-2</v>
      </c>
      <c r="L277" s="40">
        <f t="shared" si="73"/>
        <v>8</v>
      </c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25.5" customHeight="1">
      <c r="A278" s="26" t="str">
        <f>A273</f>
        <v>D02.8</v>
      </c>
      <c r="B278" s="50" t="s">
        <v>264</v>
      </c>
      <c r="C278" s="49" t="str">
        <f>VLOOKUP(B278,'Composição dos serv'!A:I,3,FALSE)</f>
        <v>Remoção de telhas em cimento amianto</v>
      </c>
      <c r="D278" s="26" t="str">
        <f>VLOOKUP(B278,'Composição dos serv'!A:I,4,FALSE)</f>
        <v>m²</v>
      </c>
      <c r="E278" s="49">
        <f>SUM(E250:E251)</f>
        <v>60</v>
      </c>
      <c r="F278" s="52"/>
      <c r="G278" s="51">
        <f>SUMIF('Composição dos serv'!A:A,B278,'Composição dos serv'!I:I)</f>
        <v>0</v>
      </c>
      <c r="H278" s="51">
        <f>G278*E278</f>
        <v>0</v>
      </c>
      <c r="I278" s="24"/>
      <c r="J278" s="24"/>
      <c r="K278" s="39"/>
      <c r="L278" s="40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25.5" customHeight="1">
      <c r="A279" s="53"/>
      <c r="B279" s="53"/>
      <c r="C279" s="37" t="str">
        <f>IF(E276&lt;&gt;1,IF(E277&lt;&gt;1,IF(H279&lt;&gt;0,"Há Material não reutilizavel qual a destinação para ele?",""),""),"")</f>
        <v/>
      </c>
      <c r="D279" s="168" t="str">
        <f>IF(E276&lt;&gt;1,IF(E277&lt;&gt;1,IF(H279&lt;&gt;0,"Caçamba = 1; Aterro = 2",""),""),"")</f>
        <v/>
      </c>
      <c r="E279" s="169"/>
      <c r="F279" s="170"/>
      <c r="G279" s="37"/>
      <c r="H279" s="54">
        <f>IF(E276=1,0,IF(E277=1,0,ROUNDUP((IF(E246&lt;&gt;"",F246*0.66,0)+IF(E249&lt;&gt;"",F249*0.57,0)+IF(E251&lt;&gt;"",F251,0)+IF(E252&lt;&gt;"",F252*0.2,0)+IF(E253&lt;&gt;"",F253,0)+IF(E255&lt;&gt;"",F255*0.22,0)+IF(E256&lt;&gt;"",F256,0)+IF(E257&lt;&gt;"",F257,0)+IF(E259&lt;&gt;"",F259*0.02,0)+IF(E261&lt;&gt;"",F261*0.09,0)+IF(E262&lt;&gt;"",F262*0.74,0)+IF(E263&lt;&gt;"",F263*(1-0.24),0)+IF(E266&lt;&gt;"",F266,0)+IF(E267&lt;&gt;"",F267,0)+IF(E268&lt;&gt;"",F268,0)+IF(E269&lt;&gt;"",F269,0)+IF(E270&lt;&gt;"",F270,0)+IF(E271&lt;&gt;"",F271,0)+IF(E272&lt;&gt;"",F272,0)+IF(E250&lt;&gt;"",F250,0)+IF(E248&lt;&gt;"",F248,0)),2)))</f>
        <v>0</v>
      </c>
      <c r="I279" s="24"/>
      <c r="J279" s="24"/>
      <c r="K279" s="39"/>
      <c r="L279" s="40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25.5" hidden="1" customHeight="1">
      <c r="I280" s="24"/>
      <c r="J280" s="24"/>
      <c r="K280" s="39">
        <f>SUMIF('Composição dos serv'!A:A,'PESM Itutinga Piloes pt1'!B280,'Composição dos serv'!K:K)</f>
        <v>0</v>
      </c>
      <c r="L280" s="40">
        <f>ROUNDUP(K280*E280,0)</f>
        <v>0</v>
      </c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25.5" customHeight="1">
      <c r="A281" s="76" t="str">
        <f>A239</f>
        <v>D02</v>
      </c>
      <c r="B281" s="189" t="str">
        <f>C239</f>
        <v>EDIFICAÇÃO 6 - Gleba D02</v>
      </c>
      <c r="C281" s="169"/>
      <c r="D281" s="190" t="s">
        <v>280</v>
      </c>
      <c r="E281" s="169"/>
      <c r="F281" s="169"/>
      <c r="G281" s="78">
        <f>SUM(H242:H278)</f>
        <v>0</v>
      </c>
      <c r="H281" s="79"/>
      <c r="I281" s="24"/>
      <c r="J281" s="24"/>
      <c r="K281" s="39">
        <f>IF(SUM(L274:L277)&gt;SUM(L242:L272),SUM(L274:L277),SUM(L242:L272))</f>
        <v>31</v>
      </c>
      <c r="L281" s="40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25.5" customHeight="1">
      <c r="A282" s="66"/>
      <c r="B282" s="53"/>
      <c r="D282" s="53"/>
      <c r="G282" s="67"/>
      <c r="H282" s="67"/>
      <c r="I282" s="24"/>
      <c r="J282" s="24"/>
      <c r="K282" s="39">
        <f>SUMIF('Composição dos serv'!A:A,'PESM Itutinga Piloes pt1'!B282,'Composição dos serv'!K:K)</f>
        <v>0</v>
      </c>
      <c r="L282" s="40">
        <f t="shared" ref="L282:L284" si="74">ROUNDUP(K282*E282,0)</f>
        <v>0</v>
      </c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25.5" customHeight="1">
      <c r="A283" s="80" t="s">
        <v>302</v>
      </c>
      <c r="B283" s="80">
        <v>2</v>
      </c>
      <c r="C283" s="81" t="s">
        <v>303</v>
      </c>
      <c r="D283" s="81"/>
      <c r="E283" s="81"/>
      <c r="F283" s="81"/>
      <c r="G283" s="81"/>
      <c r="H283" s="81"/>
      <c r="I283" s="24"/>
      <c r="J283" s="24"/>
      <c r="K283" s="39">
        <f>SUMIF('Composição dos serv'!A:A,'PESM Itutinga Piloes pt1'!B283,'Composição dos serv'!K:K)</f>
        <v>0</v>
      </c>
      <c r="L283" s="40">
        <f t="shared" si="74"/>
        <v>0</v>
      </c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25.5" hidden="1" customHeight="1">
      <c r="A284" s="26"/>
      <c r="B284" s="66"/>
      <c r="C284" s="66"/>
      <c r="D284" s="66"/>
      <c r="E284" s="66"/>
      <c r="F284" s="66"/>
      <c r="G284" s="66"/>
      <c r="H284" s="66"/>
      <c r="I284" s="24"/>
      <c r="J284" s="24"/>
      <c r="K284" s="39">
        <f>SUMIF('Composição dos serv'!A:A,'PESM Itutinga Piloes pt1'!B284,'Composição dos serv'!K:K)</f>
        <v>0</v>
      </c>
      <c r="L284" s="40">
        <f t="shared" si="74"/>
        <v>0</v>
      </c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25.5" customHeight="1">
      <c r="A285" s="33" t="str">
        <f>CONCATENATE(A283,".1")</f>
        <v>D03.1</v>
      </c>
      <c r="B285" s="33" t="s">
        <v>67</v>
      </c>
      <c r="C285" s="48" t="str">
        <f>VLOOKUP(B285,'Composição dos serv'!A:I,3,FALSE)</f>
        <v>DEMOLIÇÃO DE CALÇADAS E/OU CAMINHOS</v>
      </c>
      <c r="D285" s="48"/>
      <c r="E285" s="48"/>
      <c r="F285" s="48"/>
      <c r="G285" s="48"/>
      <c r="H285" s="48"/>
      <c r="I285" s="24"/>
      <c r="J285" s="24"/>
      <c r="K285" s="31"/>
      <c r="L285" s="32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25.5" hidden="1" customHeight="1">
      <c r="A286" s="26" t="str">
        <f>A285</f>
        <v>D03.1</v>
      </c>
      <c r="B286" s="26" t="s">
        <v>69</v>
      </c>
      <c r="C286" s="49" t="str">
        <f>VLOOKUP(B286,'Composição dos serv'!A:I,3,FALSE)</f>
        <v>Demolição de calçada ou caminhos</v>
      </c>
      <c r="D286" s="50" t="str">
        <f>VLOOKUP(B286,'Composição dos serv'!A:I,4,FALSE)</f>
        <v>m²</v>
      </c>
      <c r="E286" s="49"/>
      <c r="F286" s="49">
        <f>ROUNDUP(E286*0.15,2)</f>
        <v>0</v>
      </c>
      <c r="G286" s="51">
        <f>SUMIF('Composição dos serv'!A:A,'PESM Itutinga Piloes pt1'!B286,'Composição dos serv'!I:I)</f>
        <v>0</v>
      </c>
      <c r="H286" s="51">
        <f t="shared" ref="H286:H287" si="75">E286*G286</f>
        <v>0</v>
      </c>
      <c r="I286" s="24"/>
      <c r="J286" s="24"/>
      <c r="K286" s="39">
        <f>SUMIF('Composição dos serv'!A:A,B286,'Composição dos serv'!K:K)</f>
        <v>0.12</v>
      </c>
      <c r="L286" s="40">
        <f t="shared" ref="L286:L316" si="76">ROUNDUP(K286*E286,0)</f>
        <v>0</v>
      </c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25.5" customHeight="1">
      <c r="A287" s="26" t="str">
        <f>A285</f>
        <v>D03.1</v>
      </c>
      <c r="B287" s="26" t="s">
        <v>75</v>
      </c>
      <c r="C287" s="37" t="str">
        <f>VLOOKUP(B287,'Composição dos serv'!A:I,3,FALSE)</f>
        <v>Demolição de via Asfaltada, em paralelepípedo ou intertravados</v>
      </c>
      <c r="D287" s="26" t="str">
        <f>VLOOKUP(B287,'Composição dos serv'!A:I,4,FALSE)</f>
        <v>m²</v>
      </c>
      <c r="E287" s="37">
        <v>37</v>
      </c>
      <c r="F287" s="37">
        <f>ROUNDUP(E287*0.2,2)</f>
        <v>7.4</v>
      </c>
      <c r="G287" s="38">
        <f>SUMIF('Composição dos serv'!A:A,'PESM Itutinga Piloes pt1'!B287,'Composição dos serv'!I:I)</f>
        <v>0</v>
      </c>
      <c r="H287" s="38">
        <f t="shared" si="75"/>
        <v>0</v>
      </c>
      <c r="I287" s="24"/>
      <c r="J287" s="24"/>
      <c r="K287" s="39">
        <f>SUMIF('Composição dos serv'!A:A,B287,'Composição dos serv'!K:K)</f>
        <v>0.06</v>
      </c>
      <c r="L287" s="40">
        <f t="shared" si="76"/>
        <v>3</v>
      </c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25.5" customHeight="1">
      <c r="A288" s="33" t="str">
        <f>CONCATENATE(A283,".2")</f>
        <v>D03.2</v>
      </c>
      <c r="B288" s="33" t="s">
        <v>85</v>
      </c>
      <c r="C288" s="34" t="str">
        <f>VLOOKUP(B288,'Composição dos serv'!A:I,3,FALSE)</f>
        <v>DEMOLIÇÃO DE MUROS E CERCAS</v>
      </c>
      <c r="D288" s="35"/>
      <c r="E288" s="35"/>
      <c r="F288" s="35"/>
      <c r="G288" s="35"/>
      <c r="H288" s="36"/>
      <c r="I288" s="24"/>
      <c r="J288" s="24"/>
      <c r="K288" s="39">
        <f>SUMIF('Composição dos serv'!A:A,B288,'Composição dos serv'!K:K)</f>
        <v>0</v>
      </c>
      <c r="L288" s="40">
        <f t="shared" si="76"/>
        <v>0</v>
      </c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25.5" hidden="1" customHeight="1">
      <c r="A289" s="26" t="str">
        <f>A288</f>
        <v>D03.2</v>
      </c>
      <c r="B289" s="26" t="s">
        <v>87</v>
      </c>
      <c r="C289" s="37" t="str">
        <f>VLOOKUP(B289,'Composição dos serv'!A:I,3,FALSE)</f>
        <v>Demolição de muro em alvenaria ou alambrados</v>
      </c>
      <c r="D289" s="26" t="str">
        <f>VLOOKUP(B289,'Composição dos serv'!A:I,4,FALSE)</f>
        <v>m</v>
      </c>
      <c r="E289" s="37"/>
      <c r="F289" s="37">
        <f>ROUNDUP(E289*0.2*2.4,2)</f>
        <v>0</v>
      </c>
      <c r="G289" s="38">
        <f>SUMIF('Composição dos serv'!A:A,'PESM Itutinga Piloes pt1'!B289,'Composição dos serv'!I:I)</f>
        <v>0</v>
      </c>
      <c r="H289" s="38">
        <f t="shared" ref="H289:H290" si="77">E289*G289</f>
        <v>0</v>
      </c>
      <c r="I289" s="24"/>
      <c r="J289" s="24"/>
      <c r="K289" s="39">
        <f>SUMIF('Composição dos serv'!A:A,B289,'Composição dos serv'!K:K)</f>
        <v>0.26</v>
      </c>
      <c r="L289" s="40">
        <f t="shared" si="76"/>
        <v>0</v>
      </c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25.5" customHeight="1">
      <c r="A290" s="26" t="str">
        <f>A288</f>
        <v>D03.2</v>
      </c>
      <c r="B290" s="26" t="s">
        <v>93</v>
      </c>
      <c r="C290" s="37" t="str">
        <f>VLOOKUP(B290,'Composição dos serv'!A:I,3,FALSE)</f>
        <v>Demolição de Cercas</v>
      </c>
      <c r="D290" s="26" t="str">
        <f>VLOOKUP(B290,'Composição dos serv'!A:I,4,FALSE)</f>
        <v>m</v>
      </c>
      <c r="E290" s="37">
        <v>200</v>
      </c>
      <c r="F290" s="37">
        <f>ROUNDUP(E290*0.1*1.8,2)</f>
        <v>36</v>
      </c>
      <c r="G290" s="38">
        <f>SUMIF('Composição dos serv'!A:A,'PESM Itutinga Piloes pt1'!B290,'Composição dos serv'!I:I)</f>
        <v>0</v>
      </c>
      <c r="H290" s="38">
        <f t="shared" si="77"/>
        <v>0</v>
      </c>
      <c r="I290" s="24"/>
      <c r="J290" s="24"/>
      <c r="K290" s="39">
        <f>SUMIF('Composição dos serv'!A:A,B290,'Composição dos serv'!K:K)</f>
        <v>0.06</v>
      </c>
      <c r="L290" s="40">
        <f t="shared" si="76"/>
        <v>12</v>
      </c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25.5" customHeight="1">
      <c r="A291" s="33" t="str">
        <f>CONCATENATE(A283,".3")</f>
        <v>D03.3</v>
      </c>
      <c r="B291" s="33" t="s">
        <v>99</v>
      </c>
      <c r="C291" s="48" t="str">
        <f>VLOOKUP(B291,'Composição dos serv'!A:I,3,FALSE)</f>
        <v>COBERTURA</v>
      </c>
      <c r="D291" s="48"/>
      <c r="E291" s="48"/>
      <c r="F291" s="48"/>
      <c r="G291" s="48"/>
      <c r="H291" s="48"/>
      <c r="I291" s="24"/>
      <c r="J291" s="24"/>
      <c r="K291" s="39">
        <f>SUMIF('Composição dos serv'!A:A,B291,'Composição dos serv'!K:K)</f>
        <v>0</v>
      </c>
      <c r="L291" s="40">
        <f t="shared" si="76"/>
        <v>0</v>
      </c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25.5" hidden="1" customHeight="1">
      <c r="A292" s="26" t="str">
        <f t="shared" ref="A292:A297" si="78">A291</f>
        <v>D03.3</v>
      </c>
      <c r="B292" s="26" t="s">
        <v>101</v>
      </c>
      <c r="C292" s="37" t="str">
        <f>VLOOKUP(B292,'Composição dos serv'!A:I,3,FALSE)</f>
        <v>Retirada de Estrutura de madeira sem telhas</v>
      </c>
      <c r="D292" s="26" t="str">
        <f>VLOOKUP(B292,'Composição dos serv'!A:I,4,FALSE)</f>
        <v>m²</v>
      </c>
      <c r="E292" s="37"/>
      <c r="F292" s="37">
        <f>ROUNDUP(E292*0.2,2)</f>
        <v>0</v>
      </c>
      <c r="G292" s="38">
        <f>SUMIF('Composição dos serv'!A:A,'PESM Itutinga Piloes pt1'!B292,'Composição dos serv'!I:I)</f>
        <v>0</v>
      </c>
      <c r="H292" s="38">
        <f t="shared" ref="H292:H297" si="79">E292*G292</f>
        <v>0</v>
      </c>
      <c r="I292" s="24"/>
      <c r="J292" s="24"/>
      <c r="K292" s="39">
        <f>SUMIF('Composição dos serv'!A:A,B292,'Composição dos serv'!K:K)</f>
        <v>0.03</v>
      </c>
      <c r="L292" s="40">
        <f t="shared" si="76"/>
        <v>0</v>
      </c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25.5" customHeight="1">
      <c r="A293" s="26" t="str">
        <f t="shared" si="78"/>
        <v>D03.3</v>
      </c>
      <c r="B293" s="26" t="s">
        <v>105</v>
      </c>
      <c r="C293" s="37" t="str">
        <f>VLOOKUP(B293,'Composição dos serv'!A:I,3,FALSE)</f>
        <v>Retirada de Telhas de Barro com Estrutura em madeira (tesouras, treliças,...)</v>
      </c>
      <c r="D293" s="26" t="str">
        <f>VLOOKUP(B293,'Composição dos serv'!A:I,4,FALSE)</f>
        <v>m²</v>
      </c>
      <c r="E293" s="37">
        <v>350</v>
      </c>
      <c r="F293" s="37">
        <f>ROUNDUP(E293*0.08+E293*0.2,2)</f>
        <v>98</v>
      </c>
      <c r="G293" s="38">
        <f>SUMIF('Composição dos serv'!A:A,'PESM Itutinga Piloes pt1'!B293,'Composição dos serv'!I:I)</f>
        <v>0</v>
      </c>
      <c r="H293" s="38">
        <f t="shared" si="79"/>
        <v>0</v>
      </c>
      <c r="I293" s="24"/>
      <c r="J293" s="24"/>
      <c r="K293" s="39">
        <f>SUMIF('Composição dos serv'!A:A,B293,'Composição dos serv'!K:K)</f>
        <v>0.06</v>
      </c>
      <c r="L293" s="40">
        <f t="shared" si="76"/>
        <v>21</v>
      </c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25.5" hidden="1" customHeight="1">
      <c r="A294" s="26" t="str">
        <f t="shared" si="78"/>
        <v>D03.3</v>
      </c>
      <c r="B294" s="26" t="s">
        <v>111</v>
      </c>
      <c r="C294" s="37" t="str">
        <f>VLOOKUP(B294,'Composição dos serv'!A:I,3,FALSE)</f>
        <v>Retirada de Telhas de amianto Sem Estrutura</v>
      </c>
      <c r="D294" s="26" t="str">
        <f>VLOOKUP(B294,'Composição dos serv'!A:I,4,FALSE)</f>
        <v>m²</v>
      </c>
      <c r="E294" s="37"/>
      <c r="F294" s="37"/>
      <c r="G294" s="38">
        <f>SUMIF('Composição dos serv'!A:A,'PESM Itutinga Piloes pt1'!B294,'Composição dos serv'!I:I)</f>
        <v>0</v>
      </c>
      <c r="H294" s="38">
        <f t="shared" si="79"/>
        <v>0</v>
      </c>
      <c r="I294" s="24"/>
      <c r="J294" s="24"/>
      <c r="K294" s="39">
        <f>SUMIF('Composição dos serv'!A:A,B294,'Composição dos serv'!K:K)</f>
        <v>0.02</v>
      </c>
      <c r="L294" s="40">
        <f t="shared" si="76"/>
        <v>0</v>
      </c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25.5" customHeight="1">
      <c r="A295" s="26" t="str">
        <f t="shared" si="78"/>
        <v>D03.3</v>
      </c>
      <c r="B295" s="26" t="s">
        <v>117</v>
      </c>
      <c r="C295" s="37" t="str">
        <f>VLOOKUP(B295,'Composição dos serv'!A:I,3,FALSE)</f>
        <v>Retirada de Telhas de amianto com Estrutura em madeira (tesouras, treliças,...)</v>
      </c>
      <c r="D295" s="26" t="str">
        <f>VLOOKUP(B295,'Composição dos serv'!A:I,4,FALSE)</f>
        <v>m²</v>
      </c>
      <c r="E295" s="37">
        <v>275</v>
      </c>
      <c r="F295" s="37">
        <f>ROUNDUP(E295*0.1,2)</f>
        <v>27.5</v>
      </c>
      <c r="G295" s="38">
        <f>SUMIF('Composição dos serv'!A:A,'PESM Itutinga Piloes pt1'!B295,'Composição dos serv'!I:I)</f>
        <v>0</v>
      </c>
      <c r="H295" s="38">
        <f t="shared" si="79"/>
        <v>0</v>
      </c>
      <c r="I295" s="24"/>
      <c r="J295" s="24"/>
      <c r="K295" s="39">
        <f>SUMIF('Composição dos serv'!A:A,B295,'Composição dos serv'!K:K)</f>
        <v>0.04</v>
      </c>
      <c r="L295" s="40">
        <f t="shared" si="76"/>
        <v>11</v>
      </c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ht="25.5" hidden="1" customHeight="1">
      <c r="A296" s="26" t="str">
        <f t="shared" si="78"/>
        <v>D03.3</v>
      </c>
      <c r="B296" s="26" t="s">
        <v>121</v>
      </c>
      <c r="C296" s="37" t="str">
        <f>VLOOKUP(B296,'Composição dos serv'!A:I,3,FALSE)</f>
        <v>Retirada de Laje em concreto</v>
      </c>
      <c r="D296" s="26" t="str">
        <f>VLOOKUP(B296,'Composição dos serv'!A:I,4,FALSE)</f>
        <v>m²</v>
      </c>
      <c r="E296" s="37"/>
      <c r="F296" s="37">
        <f>ROUNDUP(E296*0.12,2)</f>
        <v>0</v>
      </c>
      <c r="G296" s="38">
        <f>SUMIF('Composição dos serv'!A:A,'PESM Itutinga Piloes pt1'!B296,'Composição dos serv'!I:I)</f>
        <v>0</v>
      </c>
      <c r="H296" s="38">
        <f t="shared" si="79"/>
        <v>0</v>
      </c>
      <c r="I296" s="24"/>
      <c r="J296" s="24"/>
      <c r="K296" s="39">
        <f>SUMIF('Composição dos serv'!A:A,B296,'Composição dos serv'!K:K)</f>
        <v>0.09</v>
      </c>
      <c r="L296" s="40">
        <f t="shared" si="76"/>
        <v>0</v>
      </c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ht="25.5" customHeight="1">
      <c r="A297" s="26" t="str">
        <f t="shared" si="78"/>
        <v>D03.3</v>
      </c>
      <c r="B297" s="26" t="s">
        <v>129</v>
      </c>
      <c r="C297" s="37" t="str">
        <f>VLOOKUP(B297,'Composição dos serv'!A:I,3,FALSE)</f>
        <v>Retirada de Forros qualquer com sistema de fixação</v>
      </c>
      <c r="D297" s="26" t="str">
        <f>VLOOKUP(B297,'Composição dos serv'!A:I,4,FALSE)</f>
        <v>m²</v>
      </c>
      <c r="E297" s="37">
        <v>375</v>
      </c>
      <c r="F297" s="37">
        <f>ROUNDUP(E297*0.1,2)</f>
        <v>37.5</v>
      </c>
      <c r="G297" s="38">
        <f>SUMIF('Composição dos serv'!A:A,'PESM Itutinga Piloes pt1'!B297,'Composição dos serv'!I:I)</f>
        <v>0</v>
      </c>
      <c r="H297" s="38">
        <f t="shared" si="79"/>
        <v>0</v>
      </c>
      <c r="I297" s="24"/>
      <c r="J297" s="24"/>
      <c r="K297" s="39">
        <f>SUMIF('Composição dos serv'!A:A,B297,'Composição dos serv'!K:K)</f>
        <v>0.04</v>
      </c>
      <c r="L297" s="40">
        <f t="shared" si="76"/>
        <v>15</v>
      </c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25.5" customHeight="1">
      <c r="A298" s="33" t="str">
        <f>CONCATENATE(A283,".4")</f>
        <v>D03.4</v>
      </c>
      <c r="B298" s="33" t="s">
        <v>133</v>
      </c>
      <c r="C298" s="34" t="str">
        <f>VLOOKUP(B298,'Composição dos serv'!A:I,3,FALSE)</f>
        <v>PAREDES</v>
      </c>
      <c r="D298" s="35"/>
      <c r="E298" s="35"/>
      <c r="F298" s="35"/>
      <c r="G298" s="35"/>
      <c r="H298" s="36"/>
      <c r="I298" s="24"/>
      <c r="J298" s="24"/>
      <c r="K298" s="39">
        <f>SUMIF('Composição dos serv'!A:A,B298,'Composição dos serv'!K:K)</f>
        <v>0</v>
      </c>
      <c r="L298" s="40">
        <f t="shared" si="76"/>
        <v>0</v>
      </c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ht="25.5" customHeight="1">
      <c r="A299" s="26" t="str">
        <f>A298</f>
        <v>D03.4</v>
      </c>
      <c r="B299" s="26" t="s">
        <v>135</v>
      </c>
      <c r="C299" s="37" t="str">
        <f>VLOOKUP(B299,'Composição dos serv'!A:I,3,FALSE)</f>
        <v>Parede em Alvenaria - usar área construida</v>
      </c>
      <c r="D299" s="26" t="str">
        <f>VLOOKUP(B299,'Composição dos serv'!A:I,4,FALSE)</f>
        <v>m²</v>
      </c>
      <c r="E299" s="49">
        <v>625</v>
      </c>
      <c r="F299" s="37">
        <f>ROUNDUP(E299*0.8,2)</f>
        <v>500</v>
      </c>
      <c r="G299" s="38">
        <f>SUMIF('Composição dos serv'!A:A,B299,'Composição dos serv'!I:I)</f>
        <v>0</v>
      </c>
      <c r="H299" s="38">
        <f t="shared" ref="H299:H301" si="80">E299*G299</f>
        <v>0</v>
      </c>
      <c r="I299" s="24"/>
      <c r="J299" s="24"/>
      <c r="K299" s="39">
        <f>SUMIF('Composição dos serv'!A:A,B299,'Composição dos serv'!K:K)</f>
        <v>0.15000000000000002</v>
      </c>
      <c r="L299" s="40">
        <f t="shared" si="76"/>
        <v>94</v>
      </c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ht="25.5" hidden="1" customHeight="1">
      <c r="A300" s="26" t="str">
        <f>A298</f>
        <v>D03.4</v>
      </c>
      <c r="B300" s="26" t="s">
        <v>143</v>
      </c>
      <c r="C300" s="37" t="str">
        <f>VLOOKUP(B300,'Composição dos serv'!A:I,3,FALSE)</f>
        <v>Parede em Madeirite - Chapas de madeira compensada ou aglomerada - área construída</v>
      </c>
      <c r="D300" s="26" t="str">
        <f>VLOOKUP(B300,'Composição dos serv'!A:I,4,FALSE)</f>
        <v>m²</v>
      </c>
      <c r="E300" s="37"/>
      <c r="F300" s="37">
        <f>ROUNDUP(E300*0.21,2)</f>
        <v>0</v>
      </c>
      <c r="G300" s="38">
        <f>SUMIF('Composição dos serv'!A:A,B300,'Composição dos serv'!I:I)</f>
        <v>0</v>
      </c>
      <c r="H300" s="38">
        <f t="shared" si="80"/>
        <v>0</v>
      </c>
      <c r="I300" s="24"/>
      <c r="J300" s="24"/>
      <c r="K300" s="39">
        <f>SUMIF('Composição dos serv'!A:A,B300,'Composição dos serv'!K:K)</f>
        <v>0.15000000000000002</v>
      </c>
      <c r="L300" s="40">
        <f t="shared" si="76"/>
        <v>0</v>
      </c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ht="25.5" hidden="1" customHeight="1">
      <c r="A301" s="26" t="str">
        <f>A298</f>
        <v>D03.4</v>
      </c>
      <c r="B301" s="26" t="s">
        <v>145</v>
      </c>
      <c r="C301" s="37" t="str">
        <f>VLOOKUP(B301,'Composição dos serv'!A:I,3,FALSE)</f>
        <v>Parede em Lambril de madeira - área construída</v>
      </c>
      <c r="D301" s="26" t="str">
        <f>VLOOKUP(B301,'Composição dos serv'!A:I,4,FALSE)</f>
        <v>m²</v>
      </c>
      <c r="E301" s="37"/>
      <c r="F301" s="37">
        <f>ROUNDUP(E301*4*0.12,2)</f>
        <v>0</v>
      </c>
      <c r="G301" s="38">
        <f>SUMIF('Composição dos serv'!A:A,B301,'Composição dos serv'!I:I)</f>
        <v>0</v>
      </c>
      <c r="H301" s="38">
        <f t="shared" si="80"/>
        <v>0</v>
      </c>
      <c r="I301" s="24"/>
      <c r="J301" s="24"/>
      <c r="K301" s="39">
        <f>SUMIF('Composição dos serv'!A:A,B301,'Composição dos serv'!K:K)</f>
        <v>0.35000000000000009</v>
      </c>
      <c r="L301" s="40">
        <f t="shared" si="76"/>
        <v>0</v>
      </c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ht="25.5" customHeight="1">
      <c r="A302" s="33" t="str">
        <f>CONCATENATE(A283,".5")</f>
        <v>D03.5</v>
      </c>
      <c r="B302" s="33" t="s">
        <v>153</v>
      </c>
      <c r="C302" s="34" t="str">
        <f>VLOOKUP(B302,'Composição dos serv'!A:I,3,FALSE)</f>
        <v>PISO E FUNDAÇÃO</v>
      </c>
      <c r="D302" s="35"/>
      <c r="E302" s="35"/>
      <c r="F302" s="35"/>
      <c r="G302" s="35"/>
      <c r="H302" s="36"/>
      <c r="I302" s="24"/>
      <c r="J302" s="24"/>
      <c r="K302" s="39">
        <f>SUMIF('Composição dos serv'!A:A,B302,'Composição dos serv'!K:K)</f>
        <v>0</v>
      </c>
      <c r="L302" s="40">
        <f t="shared" si="76"/>
        <v>0</v>
      </c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ht="25.5" hidden="1" customHeight="1">
      <c r="A303" s="26" t="str">
        <f>A302</f>
        <v>D03.5</v>
      </c>
      <c r="B303" s="26" t="s">
        <v>155</v>
      </c>
      <c r="C303" s="37" t="str">
        <f>VLOOKUP(B303,'Composição dos serv'!A:I,3,FALSE)</f>
        <v>Piso da edificação com fundação</v>
      </c>
      <c r="D303" s="26" t="str">
        <f>VLOOKUP(B303,'Composição dos serv'!A:I,4,FALSE)</f>
        <v>m²</v>
      </c>
      <c r="E303" s="37"/>
      <c r="F303" s="37">
        <f>ROUNDUP(E303*0.24,2)</f>
        <v>0</v>
      </c>
      <c r="G303" s="38">
        <f>SUMIF('Composição dos serv'!A:A,B303,'Composição dos serv'!I:I)</f>
        <v>0</v>
      </c>
      <c r="H303" s="38">
        <f>E303*G303</f>
        <v>0</v>
      </c>
      <c r="I303" s="24"/>
      <c r="J303" s="24"/>
      <c r="K303" s="39">
        <f>SUMIF('Composição dos serv'!A:A,B303,'Composição dos serv'!K:K)</f>
        <v>0.17</v>
      </c>
      <c r="L303" s="40">
        <f t="shared" si="76"/>
        <v>0</v>
      </c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25.5" customHeight="1">
      <c r="A304" s="33" t="str">
        <f>CONCATENATE(A283,".6")</f>
        <v>D03.6</v>
      </c>
      <c r="B304" s="33" t="s">
        <v>161</v>
      </c>
      <c r="C304" s="48" t="str">
        <f>VLOOKUP(B304,'Composição dos serv'!A:I,3,FALSE)</f>
        <v>ESTRUTURAS DIVERSAS</v>
      </c>
      <c r="D304" s="48"/>
      <c r="E304" s="48"/>
      <c r="F304" s="48"/>
      <c r="G304" s="48"/>
      <c r="H304" s="48"/>
      <c r="I304" s="24"/>
      <c r="J304" s="24"/>
      <c r="K304" s="39">
        <f>SUMIF('Composição dos serv'!A:A,B304,'Composição dos serv'!K:K)</f>
        <v>0</v>
      </c>
      <c r="L304" s="40">
        <f t="shared" si="76"/>
        <v>0</v>
      </c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ht="25.5" hidden="1" customHeight="1">
      <c r="A305" s="26" t="str">
        <f>A304</f>
        <v>D03.6</v>
      </c>
      <c r="B305" s="26" t="s">
        <v>163</v>
      </c>
      <c r="C305" s="37" t="str">
        <f>VLOOKUP(B305,'Composição dos serv'!A:I,3,FALSE)</f>
        <v>Escada em concreto com corrimão</v>
      </c>
      <c r="D305" s="26" t="str">
        <f>VLOOKUP(B305,'Composição dos serv'!A:I,4,FALSE)</f>
        <v>m</v>
      </c>
      <c r="E305" s="49"/>
      <c r="F305" s="37">
        <f>ROUNDUP(E305*1.2*0.25,2)</f>
        <v>0</v>
      </c>
      <c r="G305" s="38">
        <f>SUMIF('Composição dos serv'!A:A,'PESM Itutinga Piloes pt1'!B305,'Composição dos serv'!I:I)</f>
        <v>0</v>
      </c>
      <c r="H305" s="38">
        <f t="shared" ref="H305:H308" si="81">E305*G305</f>
        <v>0</v>
      </c>
      <c r="I305" s="24"/>
      <c r="J305" s="24"/>
      <c r="K305" s="39">
        <f>SUMIF('Composição dos serv'!A:A,B305,'Composição dos serv'!K:K)</f>
        <v>0.39</v>
      </c>
      <c r="L305" s="40">
        <f t="shared" si="76"/>
        <v>0</v>
      </c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ht="25.5" customHeight="1">
      <c r="A306" s="26" t="str">
        <f>A304</f>
        <v>D03.6</v>
      </c>
      <c r="B306" s="26" t="s">
        <v>169</v>
      </c>
      <c r="C306" s="37" t="str">
        <f>VLOOKUP(B306,'Composição dos serv'!A:I,3,FALSE)</f>
        <v>Entrada de Energia - medidor</v>
      </c>
      <c r="D306" s="26" t="str">
        <f>VLOOKUP(B306,'Composição dos serv'!A:I,4,FALSE)</f>
        <v>un</v>
      </c>
      <c r="E306" s="37">
        <v>1</v>
      </c>
      <c r="F306" s="37">
        <f>ROUNDUP(E306*(3.2+(((3.1415*0.4^2)/4)*6)),2)</f>
        <v>3.96</v>
      </c>
      <c r="G306" s="38">
        <f>SUMIF('Composição dos serv'!A:A,'PESM Itutinga Piloes pt1'!B306,'Composição dos serv'!I:I)</f>
        <v>0</v>
      </c>
      <c r="H306" s="38">
        <f t="shared" si="81"/>
        <v>0</v>
      </c>
      <c r="I306" s="24"/>
      <c r="J306" s="24"/>
      <c r="K306" s="39">
        <f>SUMIF('Composição dos serv'!A:A,B306,'Composição dos serv'!K:K)</f>
        <v>1.7600000000000002</v>
      </c>
      <c r="L306" s="40">
        <f t="shared" si="76"/>
        <v>2</v>
      </c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ht="25.5" customHeight="1">
      <c r="A307" s="26" t="str">
        <f>A304</f>
        <v>D03.6</v>
      </c>
      <c r="B307" s="26" t="s">
        <v>183</v>
      </c>
      <c r="C307" s="37" t="str">
        <f>VLOOKUP(B307,'Composição dos serv'!A:I,3,FALSE)</f>
        <v>Hidrômetro com abrigo</v>
      </c>
      <c r="D307" s="26" t="str">
        <f>VLOOKUP(B307,'Composição dos serv'!A:I,4,FALSE)</f>
        <v>un</v>
      </c>
      <c r="E307" s="37">
        <v>1</v>
      </c>
      <c r="F307" s="37">
        <f>ROUNDUP(E307*(1.7+0.1),2)</f>
        <v>1.8</v>
      </c>
      <c r="G307" s="38">
        <f>SUMIF('Composição dos serv'!A:A,'PESM Itutinga Piloes pt1'!B307,'Composição dos serv'!I:I)</f>
        <v>0</v>
      </c>
      <c r="H307" s="38">
        <f t="shared" si="81"/>
        <v>0</v>
      </c>
      <c r="I307" s="24"/>
      <c r="J307" s="24"/>
      <c r="K307" s="39">
        <f>SUMIF('Composição dos serv'!A:A,B307,'Composição dos serv'!K:K)</f>
        <v>0.44000000000000006</v>
      </c>
      <c r="L307" s="40">
        <f t="shared" si="76"/>
        <v>1</v>
      </c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25.5" customHeight="1">
      <c r="A308" s="26" t="str">
        <f>A306</f>
        <v>D03.6</v>
      </c>
      <c r="B308" s="26" t="s">
        <v>191</v>
      </c>
      <c r="C308" s="37" t="str">
        <f>VLOOKUP(B308,'Composição dos serv'!A:I,3,FALSE)</f>
        <v>Aterro de Fossa com retirada de tampa</v>
      </c>
      <c r="D308" s="26" t="str">
        <f>VLOOKUP(B308,'Composição dos serv'!A:I,4,FALSE)</f>
        <v>un</v>
      </c>
      <c r="E308" s="37">
        <v>1</v>
      </c>
      <c r="F308" s="37">
        <f>ROUNDUP(E308*(0.4),2)</f>
        <v>0.4</v>
      </c>
      <c r="G308" s="38">
        <f>SUMIF('Composição dos serv'!A:A,'PESM Itutinga Piloes pt1'!B308,'Composição dos serv'!I:I)</f>
        <v>0</v>
      </c>
      <c r="H308" s="38">
        <f t="shared" si="81"/>
        <v>0</v>
      </c>
      <c r="I308" s="24"/>
      <c r="J308" s="24"/>
      <c r="K308" s="39">
        <f>SUMIF('Composição dos serv'!A:A,B308,'Composição dos serv'!K:K)</f>
        <v>0.85000000000000009</v>
      </c>
      <c r="L308" s="40">
        <f t="shared" si="76"/>
        <v>1</v>
      </c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ht="25.5" customHeight="1">
      <c r="A309" s="33" t="str">
        <f>CONCATENATE(A283,".7")</f>
        <v>D03.7</v>
      </c>
      <c r="B309" s="33" t="s">
        <v>195</v>
      </c>
      <c r="C309" s="48" t="str">
        <f>VLOOKUP(B309,'Composição dos serv'!A:I,3,FALSE)</f>
        <v>ACABAMENTOS DIVERSOS e OUTROS</v>
      </c>
      <c r="D309" s="48"/>
      <c r="E309" s="48"/>
      <c r="F309" s="48"/>
      <c r="G309" s="48"/>
      <c r="H309" s="48"/>
      <c r="I309" s="24"/>
      <c r="J309" s="24"/>
      <c r="K309" s="39">
        <f>SUMIF('Composição dos serv'!A:A,B309,'Composição dos serv'!K:K)</f>
        <v>0</v>
      </c>
      <c r="L309" s="40">
        <f t="shared" si="76"/>
        <v>0</v>
      </c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25.5" customHeight="1">
      <c r="A310" s="26" t="str">
        <f>A309</f>
        <v>D03.7</v>
      </c>
      <c r="B310" s="50" t="s">
        <v>197</v>
      </c>
      <c r="C310" s="49" t="str">
        <f>VLOOKUP(B310,'Composição dos serv'!A:I,3,FALSE)</f>
        <v>Remoção de aparelhos sanitarios - por banheiro</v>
      </c>
      <c r="D310" s="50" t="str">
        <f>VLOOKUP(B310,'Composição dos serv'!A:I,4,FALSE)</f>
        <v>unid</v>
      </c>
      <c r="E310" s="49">
        <v>2</v>
      </c>
      <c r="F310" s="37">
        <f t="shared" ref="F310:F312" si="82">ROUNDUP(E310*1,2)</f>
        <v>2</v>
      </c>
      <c r="G310" s="51">
        <f>SUMIF('Composição dos serv'!A:A,B310,'Composição dos serv'!I:I)</f>
        <v>0</v>
      </c>
      <c r="H310" s="51">
        <f t="shared" ref="H310:H316" si="83">E310*G310</f>
        <v>0</v>
      </c>
      <c r="I310" s="24"/>
      <c r="J310" s="24"/>
      <c r="K310" s="39">
        <f>SUMIF('Composição dos serv'!A:A,B310,'Composição dos serv'!K:K)</f>
        <v>0.19</v>
      </c>
      <c r="L310" s="40">
        <f t="shared" si="76"/>
        <v>1</v>
      </c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ht="25.5" customHeight="1">
      <c r="A311" s="26" t="str">
        <f>A309</f>
        <v>D03.7</v>
      </c>
      <c r="B311" s="50" t="s">
        <v>209</v>
      </c>
      <c r="C311" s="37" t="str">
        <f>VLOOKUP(B311,'Composição dos serv'!A:I,3,FALSE)</f>
        <v>Remoção de aparelhos sanitarios - Cozinha e Área de Serviço</v>
      </c>
      <c r="D311" s="26" t="str">
        <f>VLOOKUP(B311,'Composição dos serv'!A:I,4,FALSE)</f>
        <v>unid</v>
      </c>
      <c r="E311" s="37">
        <v>2</v>
      </c>
      <c r="F311" s="37">
        <f t="shared" si="82"/>
        <v>2</v>
      </c>
      <c r="G311" s="51">
        <f>SUMIF('Composição dos serv'!A:A,B311,'Composição dos serv'!I:I)</f>
        <v>0</v>
      </c>
      <c r="H311" s="38">
        <f t="shared" si="83"/>
        <v>0</v>
      </c>
      <c r="I311" s="24"/>
      <c r="J311" s="24"/>
      <c r="K311" s="39">
        <f>SUMIF('Composição dos serv'!A:A,B311,'Composição dos serv'!K:K)</f>
        <v>0.21</v>
      </c>
      <c r="L311" s="40">
        <f t="shared" si="76"/>
        <v>1</v>
      </c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ht="25.5" customHeight="1">
      <c r="A312" s="26" t="str">
        <f>A309</f>
        <v>D03.7</v>
      </c>
      <c r="B312" s="50" t="s">
        <v>215</v>
      </c>
      <c r="C312" s="37" t="str">
        <f>VLOOKUP(B312,'Composição dos serv'!A:I,3,FALSE)</f>
        <v>Remoção de caixa d'agua</v>
      </c>
      <c r="D312" s="26" t="str">
        <f>VLOOKUP(B312,'Composição dos serv'!A:I,4,FALSE)</f>
        <v>unid</v>
      </c>
      <c r="E312" s="37">
        <v>1</v>
      </c>
      <c r="F312" s="37">
        <f t="shared" si="82"/>
        <v>1</v>
      </c>
      <c r="G312" s="51">
        <f>SUMIF('Composição dos serv'!A:A,B312,'Composição dos serv'!I:I)</f>
        <v>0</v>
      </c>
      <c r="H312" s="38">
        <f t="shared" si="83"/>
        <v>0</v>
      </c>
      <c r="I312" s="24"/>
      <c r="J312" s="24"/>
      <c r="K312" s="39">
        <f>SUMIF('Composição dos serv'!A:A,B312,'Composição dos serv'!K:K)</f>
        <v>0.42000000000000004</v>
      </c>
      <c r="L312" s="40">
        <f t="shared" si="76"/>
        <v>1</v>
      </c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25.5" hidden="1" customHeight="1">
      <c r="A313" s="26" t="str">
        <f>A309</f>
        <v>D03.7</v>
      </c>
      <c r="B313" s="50" t="s">
        <v>219</v>
      </c>
      <c r="C313" s="37" t="str">
        <f>VLOOKUP(B313,'Composição dos serv'!A:I,3,FALSE)</f>
        <v>Remoção do Sistema de Para raios - área do telhado</v>
      </c>
      <c r="D313" s="26" t="str">
        <f>VLOOKUP(B313,'Composição dos serv'!A:I,4,FALSE)</f>
        <v>m²</v>
      </c>
      <c r="E313" s="37"/>
      <c r="F313" s="37">
        <f>ROUNDUP(E313/60,2)</f>
        <v>0</v>
      </c>
      <c r="G313" s="51">
        <f>SUMIF('Composição dos serv'!A:A,B313,'Composição dos serv'!I:I)</f>
        <v>0</v>
      </c>
      <c r="H313" s="38">
        <f t="shared" si="83"/>
        <v>0</v>
      </c>
      <c r="I313" s="24"/>
      <c r="J313" s="24"/>
      <c r="K313" s="39">
        <f>SUMIF('Composição dos serv'!A:A,B313,'Composição dos serv'!K:K)</f>
        <v>0.05</v>
      </c>
      <c r="L313" s="40">
        <f t="shared" si="76"/>
        <v>0</v>
      </c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ht="25.5" customHeight="1">
      <c r="A314" s="26" t="str">
        <f>A309</f>
        <v>D03.7</v>
      </c>
      <c r="B314" s="50" t="s">
        <v>227</v>
      </c>
      <c r="C314" s="37" t="str">
        <f>VLOOKUP(B314,'Composição dos serv'!A:I,3,FALSE)</f>
        <v>Janelas</v>
      </c>
      <c r="D314" s="26" t="str">
        <f>VLOOKUP(B314,'Composição dos serv'!A:I,4,FALSE)</f>
        <v>un</v>
      </c>
      <c r="E314" s="37">
        <v>4</v>
      </c>
      <c r="F314" s="37">
        <f>ROUNDUP(E314*1.5*1.2*0.2,2)</f>
        <v>1.44</v>
      </c>
      <c r="G314" s="51">
        <f>SUMIF('Composição dos serv'!A:A,B314,'Composição dos serv'!I:I)</f>
        <v>0</v>
      </c>
      <c r="H314" s="38">
        <f t="shared" si="83"/>
        <v>0</v>
      </c>
      <c r="I314" s="24"/>
      <c r="J314" s="24"/>
      <c r="K314" s="39">
        <f>SUMIF('Composição dos serv'!A:A,B314,'Composição dos serv'!K:K)</f>
        <v>0</v>
      </c>
      <c r="L314" s="40">
        <f t="shared" si="76"/>
        <v>0</v>
      </c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ht="25.5" customHeight="1">
      <c r="A315" s="26" t="str">
        <f>A309</f>
        <v>D03.7</v>
      </c>
      <c r="B315" s="50" t="s">
        <v>234</v>
      </c>
      <c r="C315" s="37" t="str">
        <f>VLOOKUP(B315,'Composição dos serv'!A:I,3,FALSE)</f>
        <v>Portas</v>
      </c>
      <c r="D315" s="26" t="str">
        <f>VLOOKUP(B315,'Composição dos serv'!A:I,4,FALSE)</f>
        <v>un</v>
      </c>
      <c r="E315" s="37">
        <v>2</v>
      </c>
      <c r="F315" s="37">
        <f>ROUNDUP(E315*2.1*0.9*0.2,2)</f>
        <v>0.76</v>
      </c>
      <c r="G315" s="51">
        <f>SUMIF('Composição dos serv'!A:A,B315,'Composição dos serv'!I:I)</f>
        <v>0</v>
      </c>
      <c r="H315" s="38">
        <f t="shared" si="83"/>
        <v>0</v>
      </c>
      <c r="I315" s="24"/>
      <c r="J315" s="24"/>
      <c r="K315" s="39">
        <f>SUMIF('Composição dos serv'!A:A,B315,'Composição dos serv'!K:K)</f>
        <v>0</v>
      </c>
      <c r="L315" s="40">
        <f t="shared" si="76"/>
        <v>0</v>
      </c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ht="25.5" hidden="1" customHeight="1">
      <c r="A316" s="26" t="str">
        <f>A309</f>
        <v>D03.7</v>
      </c>
      <c r="B316" s="50" t="s">
        <v>236</v>
      </c>
      <c r="C316" s="37" t="str">
        <f>VLOOKUP(B316,'Composição dos serv'!A:I,3,FALSE)</f>
        <v>Guarda corpo de metal</v>
      </c>
      <c r="D316" s="26" t="str">
        <f>VLOOKUP(B316,'Composição dos serv'!A:I,4,FALSE)</f>
        <v>m</v>
      </c>
      <c r="E316" s="37"/>
      <c r="F316" s="37">
        <f>ROUNDUP(E316*1.7*0.05,2)</f>
        <v>0</v>
      </c>
      <c r="G316" s="51">
        <f>SUMIF('Composição dos serv'!A:A,B316,'Composição dos serv'!I:I)</f>
        <v>0</v>
      </c>
      <c r="H316" s="38">
        <f t="shared" si="83"/>
        <v>0</v>
      </c>
      <c r="I316" s="24"/>
      <c r="J316" s="24"/>
      <c r="K316" s="39">
        <f>SUMIF('Composição dos serv'!A:A,B316,'Composição dos serv'!K:K)</f>
        <v>0</v>
      </c>
      <c r="L316" s="40">
        <f t="shared" si="76"/>
        <v>0</v>
      </c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ht="25.5" customHeight="1">
      <c r="A317" s="33" t="str">
        <f>CONCATENATE(A283,".8")</f>
        <v>D03.8</v>
      </c>
      <c r="B317" s="33" t="s">
        <v>240</v>
      </c>
      <c r="C317" s="48" t="str">
        <f>VLOOKUP(B317,'Composição dos serv'!A:I,3,FALSE)</f>
        <v>ENTULHO</v>
      </c>
      <c r="D317" s="48"/>
      <c r="E317" s="48"/>
      <c r="F317" s="48"/>
      <c r="G317" s="48"/>
      <c r="H317" s="48"/>
      <c r="I317" s="24"/>
      <c r="J317" s="24"/>
      <c r="K317" s="39">
        <f>SUMIF('Composição dos serv'!A:A,B317,'Composição dos serv'!K:K)</f>
        <v>0</v>
      </c>
      <c r="L317" s="40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ht="25.5" hidden="1" customHeight="1">
      <c r="A318" s="26" t="str">
        <f>A317</f>
        <v>D03.8</v>
      </c>
      <c r="B318" s="50" t="s">
        <v>242</v>
      </c>
      <c r="C318" s="49" t="str">
        <f>VLOOKUP(B318,'Composição dos serv'!A:I,3,FALSE)</f>
        <v>Transporte e espalhamento Manual do entulho a ser reutilizado</v>
      </c>
      <c r="D318" s="50" t="s">
        <v>291</v>
      </c>
      <c r="E318" s="49"/>
      <c r="F318" s="52">
        <f>IF(E318=1,ROUNDUP((IF(E286&lt;&gt;"",F286,0)+IF(E287&lt;&gt;"",F287,0)+IF(E289&lt;&gt;"",F289,0)+IF(E290&lt;&gt;"",F290*0.34,0)+IF(E293&lt;&gt;"",F293*0.43,0)+IF(E296&lt;&gt;"",F296*0.8,0)+IF(E299&lt;&gt;"",F299*(0.78),0)+IF(E303&lt;&gt;"",F303*0.98,0)+IF(E305&lt;&gt;"",F305*0.91,0)+IF(E306&lt;&gt;"",F306*0.26,0)+IF(E307&lt;&gt;"",F307*0.24,0)+IF(E308&lt;&gt;"",F308,0)),2),0)</f>
        <v>0</v>
      </c>
      <c r="G318" s="51">
        <f>SUMIF('Composição dos serv'!A:A,B318,'Composição dos serv'!I:I)</f>
        <v>0</v>
      </c>
      <c r="H318" s="51">
        <f t="shared" ref="H318:H319" si="84">F318*G318</f>
        <v>0</v>
      </c>
      <c r="I318" s="24"/>
      <c r="J318" s="24"/>
      <c r="K318" s="39">
        <f>SUMIF('Composição dos serv'!A:A,B318,'Composição dos serv'!K:K)</f>
        <v>0.15000000000000002</v>
      </c>
      <c r="L318" s="40">
        <f t="shared" ref="L318:L321" si="85">ROUNDUP(K318*F318,0)</f>
        <v>0</v>
      </c>
      <c r="M318" s="45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ht="25.5" hidden="1" customHeight="1">
      <c r="A319" s="26" t="str">
        <f>A317</f>
        <v>D03.8</v>
      </c>
      <c r="B319" s="50" t="s">
        <v>246</v>
      </c>
      <c r="C319" s="49" t="str">
        <f>VLOOKUP(B319,'Composição dos serv'!A:I,3,FALSE)</f>
        <v>Remoção e Transporte Mecanizado do entulho a ser reutilizado</v>
      </c>
      <c r="D319" s="50" t="s">
        <v>291</v>
      </c>
      <c r="E319" s="49"/>
      <c r="F319" s="52">
        <f>IF(E319=1,SUM(F286:F316)-H323,0)</f>
        <v>0</v>
      </c>
      <c r="G319" s="51">
        <f>SUMIF('Composição dos serv'!A:A,B319,'Composição dos serv'!I:I)</f>
        <v>0</v>
      </c>
      <c r="H319" s="51">
        <f t="shared" si="84"/>
        <v>0</v>
      </c>
      <c r="I319" s="24"/>
      <c r="J319" s="24"/>
      <c r="K319" s="39">
        <f>SUMIF('Composição dos serv'!A:A,B319,'Composição dos serv'!K:K)</f>
        <v>0.02</v>
      </c>
      <c r="L319" s="40">
        <f t="shared" si="85"/>
        <v>0</v>
      </c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ht="25.5" customHeight="1">
      <c r="A320" s="26" t="str">
        <f>A317</f>
        <v>D03.8</v>
      </c>
      <c r="B320" s="50" t="s">
        <v>252</v>
      </c>
      <c r="C320" s="49" t="str">
        <f>VLOOKUP(B320,'Composição dos serv'!A:I,3,FALSE)</f>
        <v>Remoção do entulho com caçamba</v>
      </c>
      <c r="D320" s="50" t="s">
        <v>291</v>
      </c>
      <c r="E320" s="49">
        <v>1</v>
      </c>
      <c r="F320" s="52">
        <f>IF(E320=1,SUM(F286:F316),0)</f>
        <v>719.76</v>
      </c>
      <c r="G320" s="51">
        <f>SUMIF('Composição dos serv'!A:A,B320,'Composição dos serv'!I:I)</f>
        <v>0</v>
      </c>
      <c r="H320" s="51">
        <f>IF(E320&gt;1,"OPÇÃO ERRADA",F320*G320)+IF(G323=1,H323*G320,0)</f>
        <v>0</v>
      </c>
      <c r="I320" s="24"/>
      <c r="J320" s="24"/>
      <c r="K320" s="39">
        <f>SUMIF('Composição dos serv'!A:A,B320,'Composição dos serv'!K:K)</f>
        <v>0.02</v>
      </c>
      <c r="L320" s="40">
        <f t="shared" si="85"/>
        <v>15</v>
      </c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3" ht="25.5" hidden="1" customHeight="1">
      <c r="A321" s="26" t="str">
        <f>A317</f>
        <v>D03.8</v>
      </c>
      <c r="B321" s="50" t="s">
        <v>256</v>
      </c>
      <c r="C321" s="49" t="str">
        <f>VLOOKUP(B321,'Composição dos serv'!A:I,3,FALSE)</f>
        <v>Remoção e Transporte Mecanizado do entulho para bota fora</v>
      </c>
      <c r="D321" s="50" t="s">
        <v>291</v>
      </c>
      <c r="E321" s="49"/>
      <c r="F321" s="52">
        <f>IF(E321=1,SUM(F286:F316),0)</f>
        <v>0</v>
      </c>
      <c r="G321" s="51">
        <f>SUMIF('Composição dos serv'!A:A,B321,'Composição dos serv'!I:I)</f>
        <v>0</v>
      </c>
      <c r="H321" s="51">
        <f>IF(E321&gt;1,"OPÇÃO ERRADA",F321*G321)+IF(G323=2,H323*G321,0)</f>
        <v>0</v>
      </c>
      <c r="I321" s="24"/>
      <c r="J321" s="24"/>
      <c r="K321" s="39">
        <f>SUMIF('Composição dos serv'!A:A,B321,'Composição dos serv'!K:K)</f>
        <v>7.9999999999999988E-2</v>
      </c>
      <c r="L321" s="40">
        <f t="shared" si="85"/>
        <v>0</v>
      </c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3" ht="25.5" customHeight="1">
      <c r="A322" s="26" t="str">
        <f>A317</f>
        <v>D03.8</v>
      </c>
      <c r="B322" s="50" t="s">
        <v>264</v>
      </c>
      <c r="C322" s="49" t="str">
        <f>VLOOKUP(B322,'Composição dos serv'!A:I,3,FALSE)</f>
        <v>Remoção de telhas em cimento amianto</v>
      </c>
      <c r="D322" s="26" t="str">
        <f>VLOOKUP(B322,'Composição dos serv'!A:I,4,FALSE)</f>
        <v>m²</v>
      </c>
      <c r="E322" s="49">
        <f>SUM(E294:E295)</f>
        <v>275</v>
      </c>
      <c r="F322" s="52"/>
      <c r="G322" s="51">
        <f>SUMIF('Composição dos serv'!A:A,B322,'Composição dos serv'!I:I)</f>
        <v>0</v>
      </c>
      <c r="H322" s="51">
        <f>G322*E322</f>
        <v>0</v>
      </c>
      <c r="I322" s="24"/>
      <c r="J322" s="24"/>
      <c r="K322" s="39"/>
      <c r="L322" s="40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3" ht="25.5" customHeight="1">
      <c r="A323" s="53"/>
      <c r="B323" s="53"/>
      <c r="C323" s="37" t="str">
        <f>IF(E320&lt;&gt;1,IF(E321&lt;&gt;1,IF(H323&lt;&gt;0,"Há Material não reutilizavel qual a destinação para ele?",""),""),"")</f>
        <v/>
      </c>
      <c r="D323" s="168" t="str">
        <f>IF(E320&lt;&gt;1,IF(E321&lt;&gt;1,IF(H323&lt;&gt;0,"Caçamba = 1; Aterro = 2",""),""),"")</f>
        <v/>
      </c>
      <c r="E323" s="169"/>
      <c r="F323" s="170"/>
      <c r="G323" s="37">
        <v>1</v>
      </c>
      <c r="H323" s="54">
        <f>IF(E320=1,0,IF(E321=1,0,ROUNDUP((IF(E290&lt;&gt;"",F290*0.66,0)+IF(E293&lt;&gt;"",F293*0.57,0)+IF(E295&lt;&gt;"",F295,0)+IF(E296&lt;&gt;"",F296*0.2,0)+IF(E297&lt;&gt;"",F297,0)+IF(E299&lt;&gt;"",F299*0.22,0)+IF(E300&lt;&gt;"",F300,0)+IF(E301&lt;&gt;"",F301,0)+IF(E303&lt;&gt;"",F303*0.02,0)+IF(E305&lt;&gt;"",F305*0.09,0)+IF(E306&lt;&gt;"",F306*0.74,0)+IF(E307&lt;&gt;"",F307*(1-0.24),0)+IF(E310&lt;&gt;"",F310,0)+IF(E311&lt;&gt;"",F311,0)+IF(E312&lt;&gt;"",F312,0)+IF(E313&lt;&gt;"",F313,0)+IF(E314&lt;&gt;"",F314,0)+IF(E315&lt;&gt;"",F315,0)+IF(E316&lt;&gt;"",F316,0)+IF(E294&lt;&gt;"",F294,0)+IF(E292&lt;&gt;"",F292,0)),2)))</f>
        <v>0</v>
      </c>
      <c r="I323" s="24"/>
      <c r="J323" s="24"/>
      <c r="K323" s="39"/>
      <c r="L323" s="40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ht="25.5" hidden="1" customHeight="1">
      <c r="I324" s="24"/>
      <c r="J324" s="24"/>
      <c r="K324" s="39">
        <f>SUMIF('Composição dos serv'!A:A,'PESM Itutinga Piloes pt1'!B324,'Composição dos serv'!K:K)</f>
        <v>0</v>
      </c>
      <c r="L324" s="40">
        <f>ROUNDUP(K324*E324,0)</f>
        <v>0</v>
      </c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3" ht="25.5" customHeight="1">
      <c r="A325" s="80" t="str">
        <f>A283</f>
        <v>D03</v>
      </c>
      <c r="B325" s="179" t="str">
        <f>C283</f>
        <v>EDIFICAÇÃO 7 - Gleba D03</v>
      </c>
      <c r="C325" s="169"/>
      <c r="D325" s="180" t="s">
        <v>280</v>
      </c>
      <c r="E325" s="169"/>
      <c r="F325" s="169"/>
      <c r="G325" s="82">
        <f>SUM(H286:H322)</f>
        <v>0</v>
      </c>
      <c r="H325" s="83"/>
      <c r="I325" s="24"/>
      <c r="J325" s="24"/>
      <c r="K325" s="39">
        <f>IF(SUM(L318:L321)&gt;SUM(L286:L316),SUM(L318:L321),SUM(L286:L316))</f>
        <v>163</v>
      </c>
      <c r="L325" s="40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3" ht="25.5" customHeight="1">
      <c r="A326" s="66"/>
      <c r="B326" s="53"/>
      <c r="D326" s="53"/>
      <c r="G326" s="67"/>
      <c r="H326" s="67"/>
      <c r="I326" s="24"/>
      <c r="J326" s="24"/>
      <c r="K326" s="39">
        <f>SUMIF('Composição dos serv'!A:A,'PESM Itutinga Piloes pt1'!B326,'Composição dos serv'!K:K)</f>
        <v>0</v>
      </c>
      <c r="L326" s="40">
        <f t="shared" ref="L326:L328" si="86">ROUNDUP(K326*E326,0)</f>
        <v>0</v>
      </c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:23" ht="25.5" customHeight="1">
      <c r="A327" s="84" t="s">
        <v>304</v>
      </c>
      <c r="B327" s="84">
        <v>2</v>
      </c>
      <c r="C327" s="85" t="s">
        <v>305</v>
      </c>
      <c r="D327" s="85"/>
      <c r="E327" s="85"/>
      <c r="F327" s="85"/>
      <c r="G327" s="85"/>
      <c r="H327" s="85"/>
      <c r="I327" s="24"/>
      <c r="J327" s="24"/>
      <c r="K327" s="39">
        <f>SUMIF('Composição dos serv'!A:A,'PESM Itutinga Piloes pt1'!B327,'Composição dos serv'!K:K)</f>
        <v>0</v>
      </c>
      <c r="L327" s="40">
        <f t="shared" si="86"/>
        <v>0</v>
      </c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 ht="25.5" hidden="1" customHeight="1">
      <c r="A328" s="26"/>
      <c r="B328" s="66"/>
      <c r="C328" s="66"/>
      <c r="D328" s="66"/>
      <c r="E328" s="66"/>
      <c r="F328" s="66"/>
      <c r="G328" s="66"/>
      <c r="H328" s="66"/>
      <c r="I328" s="24"/>
      <c r="J328" s="24"/>
      <c r="K328" s="39">
        <f>SUMIF('Composição dos serv'!A:A,'PESM Itutinga Piloes pt1'!B328,'Composição dos serv'!K:K)</f>
        <v>0</v>
      </c>
      <c r="L328" s="40">
        <f t="shared" si="86"/>
        <v>0</v>
      </c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:23" ht="25.5" customHeight="1">
      <c r="A329" s="33" t="str">
        <f>CONCATENATE(A327,".1")</f>
        <v>D06.1</v>
      </c>
      <c r="B329" s="33" t="s">
        <v>67</v>
      </c>
      <c r="C329" s="48" t="str">
        <f>VLOOKUP(B329,'Composição dos serv'!A:I,3,FALSE)</f>
        <v>DEMOLIÇÃO DE CALÇADAS E/OU CAMINHOS</v>
      </c>
      <c r="D329" s="48"/>
      <c r="E329" s="48"/>
      <c r="F329" s="48"/>
      <c r="G329" s="48"/>
      <c r="H329" s="48"/>
      <c r="I329" s="24"/>
      <c r="J329" s="24"/>
      <c r="K329" s="31"/>
      <c r="L329" s="32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ht="25.5" customHeight="1">
      <c r="A330" s="26" t="str">
        <f>A329</f>
        <v>D06.1</v>
      </c>
      <c r="B330" s="26" t="s">
        <v>69</v>
      </c>
      <c r="C330" s="49" t="str">
        <f>VLOOKUP(B330,'Composição dos serv'!A:I,3,FALSE)</f>
        <v>Demolição de calçada ou caminhos</v>
      </c>
      <c r="D330" s="50" t="str">
        <f>VLOOKUP(B330,'Composição dos serv'!A:I,4,FALSE)</f>
        <v>m²</v>
      </c>
      <c r="E330" s="49">
        <v>10</v>
      </c>
      <c r="F330" s="49">
        <f>ROUNDUP(E330*0.15,2)</f>
        <v>1.5</v>
      </c>
      <c r="G330" s="51">
        <f>SUMIF('Composição dos serv'!A:A,'PESM Itutinga Piloes pt1'!B330,'Composição dos serv'!I:I)</f>
        <v>0</v>
      </c>
      <c r="H330" s="51">
        <f t="shared" ref="H330:H331" si="87">E330*G330</f>
        <v>0</v>
      </c>
      <c r="I330" s="24"/>
      <c r="J330" s="24"/>
      <c r="K330" s="39">
        <f>SUMIF('Composição dos serv'!A:A,B330,'Composição dos serv'!K:K)</f>
        <v>0.12</v>
      </c>
      <c r="L330" s="40">
        <f t="shared" ref="L330:L360" si="88">ROUNDUP(K330*E330,0)</f>
        <v>2</v>
      </c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:23" ht="25.5" hidden="1" customHeight="1">
      <c r="A331" s="26" t="str">
        <f>A329</f>
        <v>D06.1</v>
      </c>
      <c r="B331" s="26" t="s">
        <v>75</v>
      </c>
      <c r="C331" s="37" t="str">
        <f>VLOOKUP(B331,'Composição dos serv'!A:I,3,FALSE)</f>
        <v>Demolição de via Asfaltada, em paralelepípedo ou intertravados</v>
      </c>
      <c r="D331" s="26" t="str">
        <f>VLOOKUP(B331,'Composição dos serv'!A:I,4,FALSE)</f>
        <v>m²</v>
      </c>
      <c r="E331" s="37"/>
      <c r="F331" s="37">
        <f>ROUNDUP(E331*0.2,2)</f>
        <v>0</v>
      </c>
      <c r="G331" s="38">
        <f>SUMIF('Composição dos serv'!A:A,'PESM Itutinga Piloes pt1'!B331,'Composição dos serv'!I:I)</f>
        <v>0</v>
      </c>
      <c r="H331" s="38">
        <f t="shared" si="87"/>
        <v>0</v>
      </c>
      <c r="I331" s="24"/>
      <c r="J331" s="24"/>
      <c r="K331" s="39">
        <f>SUMIF('Composição dos serv'!A:A,B331,'Composição dos serv'!K:K)</f>
        <v>0.06</v>
      </c>
      <c r="L331" s="40">
        <f t="shared" si="88"/>
        <v>0</v>
      </c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:23">
      <c r="A332" s="33" t="str">
        <f>CONCATENATE(A327,".2")</f>
        <v>D06.2</v>
      </c>
      <c r="B332" s="33" t="s">
        <v>85</v>
      </c>
      <c r="C332" s="34" t="str">
        <f>VLOOKUP(B332,'Composição dos serv'!A:I,3,FALSE)</f>
        <v>DEMOLIÇÃO DE MUROS E CERCAS</v>
      </c>
      <c r="D332" s="35"/>
      <c r="E332" s="35"/>
      <c r="F332" s="35"/>
      <c r="G332" s="35"/>
      <c r="H332" s="36"/>
      <c r="I332" s="24"/>
      <c r="J332" s="24"/>
      <c r="K332" s="39">
        <f>SUMIF('Composição dos serv'!A:A,B332,'Composição dos serv'!K:K)</f>
        <v>0</v>
      </c>
      <c r="L332" s="40">
        <f t="shared" si="88"/>
        <v>0</v>
      </c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:23" hidden="1">
      <c r="A333" s="26" t="str">
        <f>A332</f>
        <v>D06.2</v>
      </c>
      <c r="B333" s="26" t="s">
        <v>87</v>
      </c>
      <c r="C333" s="37" t="str">
        <f>VLOOKUP(B333,'Composição dos serv'!A:I,3,FALSE)</f>
        <v>Demolição de muro em alvenaria ou alambrados</v>
      </c>
      <c r="D333" s="26" t="str">
        <f>VLOOKUP(B333,'Composição dos serv'!A:I,4,FALSE)</f>
        <v>m</v>
      </c>
      <c r="E333" s="37"/>
      <c r="F333" s="37">
        <f>ROUNDUP(E333*0.2*2.4,2)</f>
        <v>0</v>
      </c>
      <c r="G333" s="38">
        <f>SUMIF('Composição dos serv'!A:A,'PESM Itutinga Piloes pt1'!B333,'Composição dos serv'!I:I)</f>
        <v>0</v>
      </c>
      <c r="H333" s="38">
        <f t="shared" ref="H333:H334" si="89">E333*G333</f>
        <v>0</v>
      </c>
      <c r="I333" s="24"/>
      <c r="J333" s="24"/>
      <c r="K333" s="39">
        <f>SUMIF('Composição dos serv'!A:A,B333,'Composição dos serv'!K:K)</f>
        <v>0.26</v>
      </c>
      <c r="L333" s="40">
        <f t="shared" si="88"/>
        <v>0</v>
      </c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ht="25.5" customHeight="1">
      <c r="A334" s="26" t="str">
        <f>A332</f>
        <v>D06.2</v>
      </c>
      <c r="B334" s="26" t="s">
        <v>93</v>
      </c>
      <c r="C334" s="37" t="str">
        <f>VLOOKUP(B334,'Composição dos serv'!A:I,3,FALSE)</f>
        <v>Demolição de Cercas</v>
      </c>
      <c r="D334" s="26" t="str">
        <f>VLOOKUP(B334,'Composição dos serv'!A:I,4,FALSE)</f>
        <v>m</v>
      </c>
      <c r="E334" s="37">
        <v>80</v>
      </c>
      <c r="F334" s="37">
        <f>ROUNDUP(E334*0.1*1.8,2)</f>
        <v>14.4</v>
      </c>
      <c r="G334" s="38">
        <f>SUMIF('Composição dos serv'!A:A,'PESM Itutinga Piloes pt1'!B334,'Composição dos serv'!I:I)</f>
        <v>0</v>
      </c>
      <c r="H334" s="38">
        <f t="shared" si="89"/>
        <v>0</v>
      </c>
      <c r="I334" s="24"/>
      <c r="J334" s="24"/>
      <c r="K334" s="39">
        <f>SUMIF('Composição dos serv'!A:A,B334,'Composição dos serv'!K:K)</f>
        <v>0.06</v>
      </c>
      <c r="L334" s="40">
        <f t="shared" si="88"/>
        <v>5</v>
      </c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:23" ht="25.5" customHeight="1">
      <c r="A335" s="33" t="str">
        <f>CONCATENATE(A327,".3")</f>
        <v>D06.3</v>
      </c>
      <c r="B335" s="33" t="s">
        <v>99</v>
      </c>
      <c r="C335" s="48" t="str">
        <f>VLOOKUP(B335,'Composição dos serv'!A:I,3,FALSE)</f>
        <v>COBERTURA</v>
      </c>
      <c r="D335" s="48"/>
      <c r="E335" s="48"/>
      <c r="F335" s="48"/>
      <c r="G335" s="48"/>
      <c r="H335" s="48"/>
      <c r="I335" s="24"/>
      <c r="J335" s="24"/>
      <c r="K335" s="39">
        <f>SUMIF('Composição dos serv'!A:A,B335,'Composição dos serv'!K:K)</f>
        <v>0</v>
      </c>
      <c r="L335" s="40">
        <f t="shared" si="88"/>
        <v>0</v>
      </c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25.5" hidden="1" customHeight="1">
      <c r="A336" s="26" t="str">
        <f t="shared" ref="A336:A341" si="90">A335</f>
        <v>D06.3</v>
      </c>
      <c r="B336" s="26" t="s">
        <v>101</v>
      </c>
      <c r="C336" s="37" t="str">
        <f>VLOOKUP(B336,'Composição dos serv'!A:I,3,FALSE)</f>
        <v>Retirada de Estrutura de madeira sem telhas</v>
      </c>
      <c r="D336" s="26" t="str">
        <f>VLOOKUP(B336,'Composição dos serv'!A:I,4,FALSE)</f>
        <v>m²</v>
      </c>
      <c r="E336" s="37"/>
      <c r="F336" s="37">
        <f>ROUNDUP(E336*0.2,2)</f>
        <v>0</v>
      </c>
      <c r="G336" s="38">
        <f>SUMIF('Composição dos serv'!A:A,'PESM Itutinga Piloes pt1'!B336,'Composição dos serv'!I:I)</f>
        <v>0</v>
      </c>
      <c r="H336" s="38">
        <f t="shared" ref="H336:H341" si="91">E336*G336</f>
        <v>0</v>
      </c>
      <c r="I336" s="24"/>
      <c r="J336" s="24"/>
      <c r="K336" s="39">
        <f>SUMIF('Composição dos serv'!A:A,B336,'Composição dos serv'!K:K)</f>
        <v>0.03</v>
      </c>
      <c r="L336" s="40">
        <f t="shared" si="88"/>
        <v>0</v>
      </c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:23" ht="25.5" hidden="1" customHeight="1">
      <c r="A337" s="26" t="str">
        <f t="shared" si="90"/>
        <v>D06.3</v>
      </c>
      <c r="B337" s="26" t="s">
        <v>105</v>
      </c>
      <c r="C337" s="37" t="str">
        <f>VLOOKUP(B337,'Composição dos serv'!A:I,3,FALSE)</f>
        <v>Retirada de Telhas de Barro com Estrutura em madeira (tesouras, treliças,...)</v>
      </c>
      <c r="D337" s="26" t="str">
        <f>VLOOKUP(B337,'Composição dos serv'!A:I,4,FALSE)</f>
        <v>m²</v>
      </c>
      <c r="E337" s="37"/>
      <c r="F337" s="37">
        <f>ROUNDUP(E337*0.08+E337*0.2,2)</f>
        <v>0</v>
      </c>
      <c r="G337" s="38">
        <f>SUMIF('Composição dos serv'!A:A,'PESM Itutinga Piloes pt1'!B337,'Composição dos serv'!I:I)</f>
        <v>0</v>
      </c>
      <c r="H337" s="38">
        <f t="shared" si="91"/>
        <v>0</v>
      </c>
      <c r="I337" s="24"/>
      <c r="J337" s="24"/>
      <c r="K337" s="39">
        <f>SUMIF('Composição dos serv'!A:A,B337,'Composição dos serv'!K:K)</f>
        <v>0.06</v>
      </c>
      <c r="L337" s="40">
        <f t="shared" si="88"/>
        <v>0</v>
      </c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 hidden="1">
      <c r="A338" s="26" t="str">
        <f t="shared" si="90"/>
        <v>D06.3</v>
      </c>
      <c r="B338" s="26" t="s">
        <v>111</v>
      </c>
      <c r="C338" s="37" t="str">
        <f>VLOOKUP(B338,'Composição dos serv'!A:I,3,FALSE)</f>
        <v>Retirada de Telhas de amianto Sem Estrutura</v>
      </c>
      <c r="D338" s="26" t="str">
        <f>VLOOKUP(B338,'Composição dos serv'!A:I,4,FALSE)</f>
        <v>m²</v>
      </c>
      <c r="E338" s="37"/>
      <c r="F338" s="37"/>
      <c r="G338" s="38">
        <f>SUMIF('Composição dos serv'!A:A,'PESM Itutinga Piloes pt1'!B338,'Composição dos serv'!I:I)</f>
        <v>0</v>
      </c>
      <c r="H338" s="38">
        <f t="shared" si="91"/>
        <v>0</v>
      </c>
      <c r="I338" s="24"/>
      <c r="J338" s="24"/>
      <c r="K338" s="39">
        <f>SUMIF('Composição dos serv'!A:A,B338,'Composição dos serv'!K:K)</f>
        <v>0.02</v>
      </c>
      <c r="L338" s="40">
        <f t="shared" si="88"/>
        <v>0</v>
      </c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:23" ht="25.5" customHeight="1">
      <c r="A339" s="26" t="str">
        <f t="shared" si="90"/>
        <v>D06.3</v>
      </c>
      <c r="B339" s="26" t="s">
        <v>117</v>
      </c>
      <c r="C339" s="37" t="str">
        <f>VLOOKUP(B339,'Composição dos serv'!A:I,3,FALSE)</f>
        <v>Retirada de Telhas de amianto com Estrutura em madeira (tesouras, treliças,...)</v>
      </c>
      <c r="D339" s="26" t="str">
        <f>VLOOKUP(B339,'Composição dos serv'!A:I,4,FALSE)</f>
        <v>m²</v>
      </c>
      <c r="E339" s="37">
        <v>168</v>
      </c>
      <c r="F339" s="37">
        <f>ROUNDUP(E339*0.1,2)</f>
        <v>16.8</v>
      </c>
      <c r="G339" s="38">
        <f>SUMIF('Composição dos serv'!A:A,'PESM Itutinga Piloes pt1'!B339,'Composição dos serv'!I:I)</f>
        <v>0</v>
      </c>
      <c r="H339" s="38">
        <f t="shared" si="91"/>
        <v>0</v>
      </c>
      <c r="I339" s="24"/>
      <c r="J339" s="24"/>
      <c r="K339" s="39">
        <f>SUMIF('Composição dos serv'!A:A,B339,'Composição dos serv'!K:K)</f>
        <v>0.04</v>
      </c>
      <c r="L339" s="40">
        <f t="shared" si="88"/>
        <v>7</v>
      </c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:23" ht="25.5" hidden="1" customHeight="1">
      <c r="A340" s="26" t="str">
        <f t="shared" si="90"/>
        <v>D06.3</v>
      </c>
      <c r="B340" s="26" t="s">
        <v>121</v>
      </c>
      <c r="C340" s="37" t="str">
        <f>VLOOKUP(B340,'Composição dos serv'!A:I,3,FALSE)</f>
        <v>Retirada de Laje em concreto</v>
      </c>
      <c r="D340" s="26" t="str">
        <f>VLOOKUP(B340,'Composição dos serv'!A:I,4,FALSE)</f>
        <v>m²</v>
      </c>
      <c r="E340" s="37"/>
      <c r="F340" s="37">
        <f>ROUNDUP(E340*0.12,2)</f>
        <v>0</v>
      </c>
      <c r="G340" s="38">
        <f>SUMIF('Composição dos serv'!A:A,'PESM Itutinga Piloes pt1'!B340,'Composição dos serv'!I:I)</f>
        <v>0</v>
      </c>
      <c r="H340" s="38">
        <f t="shared" si="91"/>
        <v>0</v>
      </c>
      <c r="I340" s="24"/>
      <c r="J340" s="24"/>
      <c r="K340" s="39">
        <f>SUMIF('Composição dos serv'!A:A,B340,'Composição dos serv'!K:K)</f>
        <v>0.09</v>
      </c>
      <c r="L340" s="40">
        <f t="shared" si="88"/>
        <v>0</v>
      </c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ht="25.5" hidden="1" customHeight="1">
      <c r="A341" s="26" t="str">
        <f t="shared" si="90"/>
        <v>D06.3</v>
      </c>
      <c r="B341" s="26" t="s">
        <v>129</v>
      </c>
      <c r="C341" s="37" t="str">
        <f>VLOOKUP(B341,'Composição dos serv'!A:I,3,FALSE)</f>
        <v>Retirada de Forros qualquer com sistema de fixação</v>
      </c>
      <c r="D341" s="26" t="str">
        <f>VLOOKUP(B341,'Composição dos serv'!A:I,4,FALSE)</f>
        <v>m²</v>
      </c>
      <c r="E341" s="37"/>
      <c r="F341" s="37">
        <f>ROUNDUP(E341*0.1,2)</f>
        <v>0</v>
      </c>
      <c r="G341" s="38">
        <f>SUMIF('Composição dos serv'!A:A,'PESM Itutinga Piloes pt1'!B341,'Composição dos serv'!I:I)</f>
        <v>0</v>
      </c>
      <c r="H341" s="38">
        <f t="shared" si="91"/>
        <v>0</v>
      </c>
      <c r="I341" s="24"/>
      <c r="J341" s="24"/>
      <c r="K341" s="39">
        <f>SUMIF('Composição dos serv'!A:A,B341,'Composição dos serv'!K:K)</f>
        <v>0.04</v>
      </c>
      <c r="L341" s="40">
        <f t="shared" si="88"/>
        <v>0</v>
      </c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ht="25.5" customHeight="1">
      <c r="A342" s="33" t="str">
        <f>CONCATENATE(A327,".4")</f>
        <v>D06.4</v>
      </c>
      <c r="B342" s="33" t="s">
        <v>133</v>
      </c>
      <c r="C342" s="34" t="str">
        <f>VLOOKUP(B342,'Composição dos serv'!A:I,3,FALSE)</f>
        <v>PAREDES</v>
      </c>
      <c r="D342" s="35"/>
      <c r="E342" s="35"/>
      <c r="F342" s="35"/>
      <c r="G342" s="35"/>
      <c r="H342" s="36"/>
      <c r="I342" s="24"/>
      <c r="J342" s="24"/>
      <c r="K342" s="39">
        <f>SUMIF('Composição dos serv'!A:A,B342,'Composição dos serv'!K:K)</f>
        <v>0</v>
      </c>
      <c r="L342" s="40">
        <f t="shared" si="88"/>
        <v>0</v>
      </c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ht="25.5" customHeight="1">
      <c r="A343" s="26" t="str">
        <f>A342</f>
        <v>D06.4</v>
      </c>
      <c r="B343" s="26" t="s">
        <v>135</v>
      </c>
      <c r="C343" s="37" t="str">
        <f>VLOOKUP(B343,'Composição dos serv'!A:I,3,FALSE)</f>
        <v>Parede em Alvenaria - usar área construida</v>
      </c>
      <c r="D343" s="26" t="str">
        <f>VLOOKUP(B343,'Composição dos serv'!A:I,4,FALSE)</f>
        <v>m²</v>
      </c>
      <c r="E343" s="49">
        <v>168</v>
      </c>
      <c r="F343" s="37">
        <f>ROUNDUP(E343*0.8,2)</f>
        <v>134.4</v>
      </c>
      <c r="G343" s="38">
        <f>SUMIF('Composição dos serv'!A:A,B343,'Composição dos serv'!I:I)</f>
        <v>0</v>
      </c>
      <c r="H343" s="38">
        <f t="shared" ref="H343:H345" si="92">E343*G343</f>
        <v>0</v>
      </c>
      <c r="I343" s="24"/>
      <c r="J343" s="24"/>
      <c r="K343" s="39">
        <f>SUMIF('Composição dos serv'!A:A,B343,'Composição dos serv'!K:K)</f>
        <v>0.15000000000000002</v>
      </c>
      <c r="L343" s="40">
        <f t="shared" si="88"/>
        <v>26</v>
      </c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:23" ht="25.5" hidden="1" customHeight="1">
      <c r="A344" s="26" t="str">
        <f>A342</f>
        <v>D06.4</v>
      </c>
      <c r="B344" s="26" t="s">
        <v>143</v>
      </c>
      <c r="C344" s="37" t="str">
        <f>VLOOKUP(B344,'Composição dos serv'!A:I,3,FALSE)</f>
        <v>Parede em Madeirite - Chapas de madeira compensada ou aglomerada - área construída</v>
      </c>
      <c r="D344" s="26" t="str">
        <f>VLOOKUP(B344,'Composição dos serv'!A:I,4,FALSE)</f>
        <v>m²</v>
      </c>
      <c r="E344" s="37"/>
      <c r="F344" s="37">
        <f>ROUNDUP(E344*0.21,2)</f>
        <v>0</v>
      </c>
      <c r="G344" s="38">
        <f>SUMIF('Composição dos serv'!A:A,B344,'Composição dos serv'!I:I)</f>
        <v>0</v>
      </c>
      <c r="H344" s="38">
        <f t="shared" si="92"/>
        <v>0</v>
      </c>
      <c r="I344" s="24"/>
      <c r="J344" s="24"/>
      <c r="K344" s="39">
        <f>SUMIF('Composição dos serv'!A:A,B344,'Composição dos serv'!K:K)</f>
        <v>0.15000000000000002</v>
      </c>
      <c r="L344" s="40">
        <f t="shared" si="88"/>
        <v>0</v>
      </c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:23" ht="25.5" hidden="1" customHeight="1">
      <c r="A345" s="26" t="str">
        <f>A342</f>
        <v>D06.4</v>
      </c>
      <c r="B345" s="26" t="s">
        <v>145</v>
      </c>
      <c r="C345" s="37" t="str">
        <f>VLOOKUP(B345,'Composição dos serv'!A:I,3,FALSE)</f>
        <v>Parede em Lambril de madeira - área construída</v>
      </c>
      <c r="D345" s="26" t="str">
        <f>VLOOKUP(B345,'Composição dos serv'!A:I,4,FALSE)</f>
        <v>m²</v>
      </c>
      <c r="E345" s="37"/>
      <c r="F345" s="37">
        <f>ROUNDUP(E345*4*0.12,2)</f>
        <v>0</v>
      </c>
      <c r="G345" s="38">
        <f>SUMIF('Composição dos serv'!A:A,B345,'Composição dos serv'!I:I)</f>
        <v>0</v>
      </c>
      <c r="H345" s="38">
        <f t="shared" si="92"/>
        <v>0</v>
      </c>
      <c r="I345" s="24"/>
      <c r="J345" s="24"/>
      <c r="K345" s="39">
        <f>SUMIF('Composição dos serv'!A:A,B345,'Composição dos serv'!K:K)</f>
        <v>0.35000000000000009</v>
      </c>
      <c r="L345" s="40">
        <f t="shared" si="88"/>
        <v>0</v>
      </c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ht="25.5" customHeight="1">
      <c r="A346" s="33" t="str">
        <f>CONCATENATE(A327,".5")</f>
        <v>D06.5</v>
      </c>
      <c r="B346" s="33" t="s">
        <v>153</v>
      </c>
      <c r="C346" s="34" t="str">
        <f>VLOOKUP(B346,'Composição dos serv'!A:I,3,FALSE)</f>
        <v>PISO E FUNDAÇÃO</v>
      </c>
      <c r="D346" s="35"/>
      <c r="E346" s="35"/>
      <c r="F346" s="35"/>
      <c r="G346" s="35"/>
      <c r="H346" s="36"/>
      <c r="I346" s="24"/>
      <c r="J346" s="24"/>
      <c r="K346" s="39">
        <f>SUMIF('Composição dos serv'!A:A,B346,'Composição dos serv'!K:K)</f>
        <v>0</v>
      </c>
      <c r="L346" s="40">
        <f t="shared" si="88"/>
        <v>0</v>
      </c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ht="25.5" hidden="1" customHeight="1">
      <c r="A347" s="26" t="str">
        <f>A346</f>
        <v>D06.5</v>
      </c>
      <c r="B347" s="26" t="s">
        <v>155</v>
      </c>
      <c r="C347" s="37" t="str">
        <f>VLOOKUP(B347,'Composição dos serv'!A:I,3,FALSE)</f>
        <v>Piso da edificação com fundação</v>
      </c>
      <c r="D347" s="26" t="str">
        <f>VLOOKUP(B347,'Composição dos serv'!A:I,4,FALSE)</f>
        <v>m²</v>
      </c>
      <c r="E347" s="37"/>
      <c r="F347" s="37">
        <f>ROUNDUP(E347*0.24,2)</f>
        <v>0</v>
      </c>
      <c r="G347" s="38">
        <f>SUMIF('Composição dos serv'!A:A,B347,'Composição dos serv'!I:I)</f>
        <v>0</v>
      </c>
      <c r="H347" s="38">
        <f>E347*G347</f>
        <v>0</v>
      </c>
      <c r="I347" s="24"/>
      <c r="J347" s="24"/>
      <c r="K347" s="39">
        <f>SUMIF('Composição dos serv'!A:A,B347,'Composição dos serv'!K:K)</f>
        <v>0.17</v>
      </c>
      <c r="L347" s="40">
        <f t="shared" si="88"/>
        <v>0</v>
      </c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ht="25.5" customHeight="1">
      <c r="A348" s="33" t="str">
        <f>CONCATENATE(A327,".6")</f>
        <v>D06.6</v>
      </c>
      <c r="B348" s="33" t="s">
        <v>161</v>
      </c>
      <c r="C348" s="48" t="str">
        <f>VLOOKUP(B348,'Composição dos serv'!A:I,3,FALSE)</f>
        <v>ESTRUTURAS DIVERSAS</v>
      </c>
      <c r="D348" s="48"/>
      <c r="E348" s="48"/>
      <c r="F348" s="48"/>
      <c r="G348" s="48"/>
      <c r="H348" s="48"/>
      <c r="I348" s="24"/>
      <c r="J348" s="24"/>
      <c r="K348" s="39">
        <f>SUMIF('Composição dos serv'!A:A,B348,'Composição dos serv'!K:K)</f>
        <v>0</v>
      </c>
      <c r="L348" s="40">
        <f t="shared" si="88"/>
        <v>0</v>
      </c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ht="25.5" hidden="1" customHeight="1">
      <c r="A349" s="26" t="str">
        <f>A348</f>
        <v>D06.6</v>
      </c>
      <c r="B349" s="26" t="s">
        <v>163</v>
      </c>
      <c r="C349" s="37" t="str">
        <f>VLOOKUP(B349,'Composição dos serv'!A:I,3,FALSE)</f>
        <v>Escada em concreto com corrimão</v>
      </c>
      <c r="D349" s="26" t="str">
        <f>VLOOKUP(B349,'Composição dos serv'!A:I,4,FALSE)</f>
        <v>m</v>
      </c>
      <c r="E349" s="49"/>
      <c r="F349" s="37">
        <f>ROUNDUP(E349*1.2*0.25,2)</f>
        <v>0</v>
      </c>
      <c r="G349" s="38">
        <f>SUMIF('Composição dos serv'!A:A,'PESM Itutinga Piloes pt1'!B349,'Composição dos serv'!I:I)</f>
        <v>0</v>
      </c>
      <c r="H349" s="38">
        <f t="shared" ref="H349:H352" si="93">E349*G349</f>
        <v>0</v>
      </c>
      <c r="I349" s="24"/>
      <c r="J349" s="24"/>
      <c r="K349" s="39">
        <f>SUMIF('Composição dos serv'!A:A,B349,'Composição dos serv'!K:K)</f>
        <v>0.39</v>
      </c>
      <c r="L349" s="40">
        <f t="shared" si="88"/>
        <v>0</v>
      </c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ht="25.5" customHeight="1">
      <c r="A350" s="26" t="str">
        <f>A348</f>
        <v>D06.6</v>
      </c>
      <c r="B350" s="26" t="s">
        <v>169</v>
      </c>
      <c r="C350" s="37" t="str">
        <f>VLOOKUP(B350,'Composição dos serv'!A:I,3,FALSE)</f>
        <v>Entrada de Energia - medidor</v>
      </c>
      <c r="D350" s="26" t="str">
        <f>VLOOKUP(B350,'Composição dos serv'!A:I,4,FALSE)</f>
        <v>un</v>
      </c>
      <c r="E350" s="37">
        <v>1</v>
      </c>
      <c r="F350" s="37">
        <f>ROUNDUP(E350*(3.2+(((3.1415*0.4^2)/4)*6)),2)</f>
        <v>3.96</v>
      </c>
      <c r="G350" s="38">
        <f>SUMIF('Composição dos serv'!A:A,'PESM Itutinga Piloes pt1'!B350,'Composição dos serv'!I:I)</f>
        <v>0</v>
      </c>
      <c r="H350" s="38">
        <f t="shared" si="93"/>
        <v>0</v>
      </c>
      <c r="I350" s="24"/>
      <c r="J350" s="24"/>
      <c r="K350" s="39">
        <f>SUMIF('Composição dos serv'!A:A,B350,'Composição dos serv'!K:K)</f>
        <v>1.7600000000000002</v>
      </c>
      <c r="L350" s="40">
        <f t="shared" si="88"/>
        <v>2</v>
      </c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25.5" customHeight="1">
      <c r="A351" s="26" t="str">
        <f>A348</f>
        <v>D06.6</v>
      </c>
      <c r="B351" s="26" t="s">
        <v>183</v>
      </c>
      <c r="C351" s="37" t="str">
        <f>VLOOKUP(B351,'Composição dos serv'!A:I,3,FALSE)</f>
        <v>Hidrômetro com abrigo</v>
      </c>
      <c r="D351" s="26" t="str">
        <f>VLOOKUP(B351,'Composição dos serv'!A:I,4,FALSE)</f>
        <v>un</v>
      </c>
      <c r="E351" s="37">
        <v>1</v>
      </c>
      <c r="F351" s="37">
        <f>ROUNDUP(E351*(1.7+0.1),2)</f>
        <v>1.8</v>
      </c>
      <c r="G351" s="38">
        <f>SUMIF('Composição dos serv'!A:A,'PESM Itutinga Piloes pt1'!B351,'Composição dos serv'!I:I)</f>
        <v>0</v>
      </c>
      <c r="H351" s="38">
        <f t="shared" si="93"/>
        <v>0</v>
      </c>
      <c r="I351" s="24"/>
      <c r="J351" s="24"/>
      <c r="K351" s="39">
        <f>SUMIF('Composição dos serv'!A:A,B351,'Composição dos serv'!K:K)</f>
        <v>0.44000000000000006</v>
      </c>
      <c r="L351" s="40">
        <f t="shared" si="88"/>
        <v>1</v>
      </c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ht="25.5" customHeight="1">
      <c r="A352" s="26" t="str">
        <f>A350</f>
        <v>D06.6</v>
      </c>
      <c r="B352" s="26" t="s">
        <v>191</v>
      </c>
      <c r="C352" s="37" t="str">
        <f>VLOOKUP(B352,'Composição dos serv'!A:I,3,FALSE)</f>
        <v>Aterro de Fossa com retirada de tampa</v>
      </c>
      <c r="D352" s="26" t="str">
        <f>VLOOKUP(B352,'Composição dos serv'!A:I,4,FALSE)</f>
        <v>un</v>
      </c>
      <c r="E352" s="37">
        <v>1</v>
      </c>
      <c r="F352" s="37">
        <f>ROUNDUP(E352*(0.4),2)</f>
        <v>0.4</v>
      </c>
      <c r="G352" s="38">
        <f>SUMIF('Composição dos serv'!A:A,'PESM Itutinga Piloes pt1'!B352,'Composição dos serv'!I:I)</f>
        <v>0</v>
      </c>
      <c r="H352" s="38">
        <f t="shared" si="93"/>
        <v>0</v>
      </c>
      <c r="I352" s="24"/>
      <c r="J352" s="24"/>
      <c r="K352" s="39">
        <f>SUMIF('Composição dos serv'!A:A,B352,'Composição dos serv'!K:K)</f>
        <v>0.85000000000000009</v>
      </c>
      <c r="L352" s="40">
        <f t="shared" si="88"/>
        <v>1</v>
      </c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25.5" customHeight="1">
      <c r="A353" s="33" t="str">
        <f>CONCATENATE(A327,".7")</f>
        <v>D06.7</v>
      </c>
      <c r="B353" s="33" t="s">
        <v>195</v>
      </c>
      <c r="C353" s="48" t="str">
        <f>VLOOKUP(B353,'Composição dos serv'!A:I,3,FALSE)</f>
        <v>ACABAMENTOS DIVERSOS e OUTROS</v>
      </c>
      <c r="D353" s="48"/>
      <c r="E353" s="48"/>
      <c r="F353" s="48"/>
      <c r="G353" s="48"/>
      <c r="H353" s="48"/>
      <c r="I353" s="24"/>
      <c r="J353" s="24"/>
      <c r="K353" s="39">
        <f>SUMIF('Composição dos serv'!A:A,B353,'Composição dos serv'!K:K)</f>
        <v>0</v>
      </c>
      <c r="L353" s="40">
        <f t="shared" si="88"/>
        <v>0</v>
      </c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:23" ht="25.5" customHeight="1">
      <c r="A354" s="26" t="str">
        <f>A353</f>
        <v>D06.7</v>
      </c>
      <c r="B354" s="50" t="s">
        <v>197</v>
      </c>
      <c r="C354" s="49" t="str">
        <f>VLOOKUP(B354,'Composição dos serv'!A:I,3,FALSE)</f>
        <v>Remoção de aparelhos sanitarios - por banheiro</v>
      </c>
      <c r="D354" s="50" t="str">
        <f>VLOOKUP(B354,'Composição dos serv'!A:I,4,FALSE)</f>
        <v>unid</v>
      </c>
      <c r="E354" s="49">
        <v>1</v>
      </c>
      <c r="F354" s="37">
        <f t="shared" ref="F354:F356" si="94">ROUNDUP(E354*1,2)</f>
        <v>1</v>
      </c>
      <c r="G354" s="51">
        <f>SUMIF('Composição dos serv'!A:A,B354,'Composição dos serv'!I:I)</f>
        <v>0</v>
      </c>
      <c r="H354" s="51">
        <f t="shared" ref="H354:H360" si="95">E354*G354</f>
        <v>0</v>
      </c>
      <c r="I354" s="24"/>
      <c r="J354" s="24"/>
      <c r="K354" s="39">
        <f>SUMIF('Composição dos serv'!A:A,B354,'Composição dos serv'!K:K)</f>
        <v>0.19</v>
      </c>
      <c r="L354" s="40">
        <f t="shared" si="88"/>
        <v>1</v>
      </c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25.5" customHeight="1">
      <c r="A355" s="26" t="str">
        <f>A353</f>
        <v>D06.7</v>
      </c>
      <c r="B355" s="50" t="s">
        <v>209</v>
      </c>
      <c r="C355" s="37" t="str">
        <f>VLOOKUP(B355,'Composição dos serv'!A:I,3,FALSE)</f>
        <v>Remoção de aparelhos sanitarios - Cozinha e Área de Serviço</v>
      </c>
      <c r="D355" s="26" t="str">
        <f>VLOOKUP(B355,'Composição dos serv'!A:I,4,FALSE)</f>
        <v>unid</v>
      </c>
      <c r="E355" s="37">
        <v>1</v>
      </c>
      <c r="F355" s="37">
        <f t="shared" si="94"/>
        <v>1</v>
      </c>
      <c r="G355" s="51">
        <f>SUMIF('Composição dos serv'!A:A,B355,'Composição dos serv'!I:I)</f>
        <v>0</v>
      </c>
      <c r="H355" s="38">
        <f t="shared" si="95"/>
        <v>0</v>
      </c>
      <c r="I355" s="24"/>
      <c r="J355" s="24"/>
      <c r="K355" s="39">
        <f>SUMIF('Composição dos serv'!A:A,B355,'Composição dos serv'!K:K)</f>
        <v>0.21</v>
      </c>
      <c r="L355" s="40">
        <f t="shared" si="88"/>
        <v>1</v>
      </c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ht="25.5" customHeight="1">
      <c r="A356" s="26" t="str">
        <f>A353</f>
        <v>D06.7</v>
      </c>
      <c r="B356" s="50" t="s">
        <v>215</v>
      </c>
      <c r="C356" s="37" t="str">
        <f>VLOOKUP(B356,'Composição dos serv'!A:I,3,FALSE)</f>
        <v>Remoção de caixa d'agua</v>
      </c>
      <c r="D356" s="26" t="str">
        <f>VLOOKUP(B356,'Composição dos serv'!A:I,4,FALSE)</f>
        <v>unid</v>
      </c>
      <c r="E356" s="37">
        <v>1</v>
      </c>
      <c r="F356" s="37">
        <f t="shared" si="94"/>
        <v>1</v>
      </c>
      <c r="G356" s="51">
        <f>SUMIF('Composição dos serv'!A:A,B356,'Composição dos serv'!I:I)</f>
        <v>0</v>
      </c>
      <c r="H356" s="38">
        <f t="shared" si="95"/>
        <v>0</v>
      </c>
      <c r="I356" s="24"/>
      <c r="J356" s="24"/>
      <c r="K356" s="39">
        <f>SUMIF('Composição dos serv'!A:A,B356,'Composição dos serv'!K:K)</f>
        <v>0.42000000000000004</v>
      </c>
      <c r="L356" s="40">
        <f t="shared" si="88"/>
        <v>1</v>
      </c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ht="25.5" hidden="1" customHeight="1">
      <c r="A357" s="26" t="str">
        <f>A353</f>
        <v>D06.7</v>
      </c>
      <c r="B357" s="50" t="s">
        <v>219</v>
      </c>
      <c r="C357" s="37" t="str">
        <f>VLOOKUP(B357,'Composição dos serv'!A:I,3,FALSE)</f>
        <v>Remoção do Sistema de Para raios - área do telhado</v>
      </c>
      <c r="D357" s="26" t="str">
        <f>VLOOKUP(B357,'Composição dos serv'!A:I,4,FALSE)</f>
        <v>m²</v>
      </c>
      <c r="E357" s="37"/>
      <c r="F357" s="37">
        <f>ROUNDUP(E357/60,2)</f>
        <v>0</v>
      </c>
      <c r="G357" s="51">
        <f>SUMIF('Composição dos serv'!A:A,B357,'Composição dos serv'!I:I)</f>
        <v>0</v>
      </c>
      <c r="H357" s="38">
        <f t="shared" si="95"/>
        <v>0</v>
      </c>
      <c r="I357" s="24"/>
      <c r="J357" s="24"/>
      <c r="K357" s="39">
        <f>SUMIF('Composição dos serv'!A:A,B357,'Composição dos serv'!K:K)</f>
        <v>0.05</v>
      </c>
      <c r="L357" s="40">
        <f t="shared" si="88"/>
        <v>0</v>
      </c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ht="25.5" customHeight="1">
      <c r="A358" s="26" t="str">
        <f>A353</f>
        <v>D06.7</v>
      </c>
      <c r="B358" s="50" t="s">
        <v>227</v>
      </c>
      <c r="C358" s="37" t="str">
        <f>VLOOKUP(B358,'Composição dos serv'!A:I,3,FALSE)</f>
        <v>Janelas</v>
      </c>
      <c r="D358" s="26" t="str">
        <f>VLOOKUP(B358,'Composição dos serv'!A:I,4,FALSE)</f>
        <v>un</v>
      </c>
      <c r="E358" s="37">
        <v>5</v>
      </c>
      <c r="F358" s="37">
        <f>ROUNDUP(E358*1.5*1.2*0.2,2)</f>
        <v>1.8</v>
      </c>
      <c r="G358" s="51">
        <f>SUMIF('Composição dos serv'!A:A,B358,'Composição dos serv'!I:I)</f>
        <v>0</v>
      </c>
      <c r="H358" s="38">
        <f t="shared" si="95"/>
        <v>0</v>
      </c>
      <c r="I358" s="24"/>
      <c r="J358" s="24"/>
      <c r="K358" s="39">
        <f>SUMIF('Composição dos serv'!A:A,B358,'Composição dos serv'!K:K)</f>
        <v>0</v>
      </c>
      <c r="L358" s="40">
        <f t="shared" si="88"/>
        <v>0</v>
      </c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ht="25.5" customHeight="1">
      <c r="A359" s="26" t="str">
        <f>A353</f>
        <v>D06.7</v>
      </c>
      <c r="B359" s="50" t="s">
        <v>234</v>
      </c>
      <c r="C359" s="37" t="str">
        <f>VLOOKUP(B359,'Composição dos serv'!A:I,3,FALSE)</f>
        <v>Portas</v>
      </c>
      <c r="D359" s="26" t="str">
        <f>VLOOKUP(B359,'Composição dos serv'!A:I,4,FALSE)</f>
        <v>un</v>
      </c>
      <c r="E359" s="37">
        <v>3</v>
      </c>
      <c r="F359" s="37">
        <f>ROUNDUP(E359*2.1*0.9*0.2,2)</f>
        <v>1.1399999999999999</v>
      </c>
      <c r="G359" s="51">
        <f>SUMIF('Composição dos serv'!A:A,B359,'Composição dos serv'!I:I)</f>
        <v>0</v>
      </c>
      <c r="H359" s="38">
        <f t="shared" si="95"/>
        <v>0</v>
      </c>
      <c r="I359" s="24"/>
      <c r="J359" s="24"/>
      <c r="K359" s="39">
        <f>SUMIF('Composição dos serv'!A:A,B359,'Composição dos serv'!K:K)</f>
        <v>0</v>
      </c>
      <c r="L359" s="40">
        <f t="shared" si="88"/>
        <v>0</v>
      </c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ht="25.5" hidden="1" customHeight="1">
      <c r="A360" s="26" t="str">
        <f>A353</f>
        <v>D06.7</v>
      </c>
      <c r="B360" s="50" t="s">
        <v>236</v>
      </c>
      <c r="C360" s="37" t="str">
        <f>VLOOKUP(B360,'Composição dos serv'!A:I,3,FALSE)</f>
        <v>Guarda corpo de metal</v>
      </c>
      <c r="D360" s="26" t="str">
        <f>VLOOKUP(B360,'Composição dos serv'!A:I,4,FALSE)</f>
        <v>m</v>
      </c>
      <c r="E360" s="37"/>
      <c r="F360" s="37">
        <f>ROUNDUP(E360*1.7*0.05,2)</f>
        <v>0</v>
      </c>
      <c r="G360" s="51">
        <f>SUMIF('Composição dos serv'!A:A,B360,'Composição dos serv'!I:I)</f>
        <v>0</v>
      </c>
      <c r="H360" s="38">
        <f t="shared" si="95"/>
        <v>0</v>
      </c>
      <c r="I360" s="24"/>
      <c r="J360" s="24"/>
      <c r="K360" s="39">
        <f>SUMIF('Composição dos serv'!A:A,B360,'Composição dos serv'!K:K)</f>
        <v>0</v>
      </c>
      <c r="L360" s="40">
        <f t="shared" si="88"/>
        <v>0</v>
      </c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ht="25.5" customHeight="1">
      <c r="A361" s="33" t="str">
        <f>CONCATENATE(A327,".8")</f>
        <v>D06.8</v>
      </c>
      <c r="B361" s="33" t="s">
        <v>240</v>
      </c>
      <c r="C361" s="48" t="str">
        <f>VLOOKUP(B361,'Composição dos serv'!A:I,3,FALSE)</f>
        <v>ENTULHO</v>
      </c>
      <c r="D361" s="48"/>
      <c r="E361" s="48"/>
      <c r="F361" s="48"/>
      <c r="G361" s="48"/>
      <c r="H361" s="48"/>
      <c r="I361" s="24"/>
      <c r="J361" s="24"/>
      <c r="K361" s="39">
        <f>SUMIF('Composição dos serv'!A:A,B361,'Composição dos serv'!K:K)</f>
        <v>0</v>
      </c>
      <c r="L361" s="40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ht="25.5" hidden="1" customHeight="1">
      <c r="A362" s="26" t="str">
        <f>A361</f>
        <v>D06.8</v>
      </c>
      <c r="B362" s="50" t="s">
        <v>242</v>
      </c>
      <c r="C362" s="49" t="str">
        <f>VLOOKUP(B362,'Composição dos serv'!A:I,3,FALSE)</f>
        <v>Transporte e espalhamento Manual do entulho a ser reutilizado</v>
      </c>
      <c r="D362" s="50" t="s">
        <v>291</v>
      </c>
      <c r="E362" s="49"/>
      <c r="F362" s="52">
        <f>IF(E362=1,ROUNDUP((IF(E330&lt;&gt;"",F330,0)+IF(E331&lt;&gt;"",F331,0)+IF(E333&lt;&gt;"",F333,0)+IF(E334&lt;&gt;"",F334*0.34,0)+IF(E337&lt;&gt;"",F337*0.43,0)+IF(E340&lt;&gt;"",F340*0.8,0)+IF(E343&lt;&gt;"",F343*(0.78),0)+IF(E347&lt;&gt;"",F347*0.98,0)+IF(E349&lt;&gt;"",F349*0.91,0)+IF(E350&lt;&gt;"",F350*0.26,0)+IF(E351&lt;&gt;"",F351*0.24,0)+IF(E352&lt;&gt;"",F352,0)),2),0)</f>
        <v>0</v>
      </c>
      <c r="G362" s="51">
        <f>SUMIF('Composição dos serv'!A:A,B362,'Composição dos serv'!I:I)</f>
        <v>0</v>
      </c>
      <c r="H362" s="51">
        <f t="shared" ref="H362:H363" si="96">F362*G362</f>
        <v>0</v>
      </c>
      <c r="I362" s="24"/>
      <c r="J362" s="24"/>
      <c r="K362" s="39">
        <f>SUMIF('Composição dos serv'!A:A,B362,'Composição dos serv'!K:K)</f>
        <v>0.15000000000000002</v>
      </c>
      <c r="L362" s="40">
        <f t="shared" ref="L362:L365" si="97">ROUNDUP(K362*F362,0)</f>
        <v>0</v>
      </c>
      <c r="M362" s="45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:23" ht="25.5" hidden="1" customHeight="1">
      <c r="A363" s="26" t="str">
        <f>A361</f>
        <v>D06.8</v>
      </c>
      <c r="B363" s="50" t="s">
        <v>246</v>
      </c>
      <c r="C363" s="49" t="str">
        <f>VLOOKUP(B363,'Composição dos serv'!A:I,3,FALSE)</f>
        <v>Remoção e Transporte Mecanizado do entulho a ser reutilizado</v>
      </c>
      <c r="D363" s="50" t="s">
        <v>291</v>
      </c>
      <c r="E363" s="49"/>
      <c r="F363" s="52">
        <f>IF(E363=1,SUM(F330:F360)-H367,0)</f>
        <v>0</v>
      </c>
      <c r="G363" s="51">
        <f>SUMIF('Composição dos serv'!A:A,B363,'Composição dos serv'!I:I)</f>
        <v>0</v>
      </c>
      <c r="H363" s="51">
        <f t="shared" si="96"/>
        <v>0</v>
      </c>
      <c r="I363" s="24"/>
      <c r="J363" s="24"/>
      <c r="K363" s="39">
        <f>SUMIF('Composição dos serv'!A:A,B363,'Composição dos serv'!K:K)</f>
        <v>0.02</v>
      </c>
      <c r="L363" s="40">
        <f t="shared" si="97"/>
        <v>0</v>
      </c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ht="25.5" customHeight="1">
      <c r="A364" s="26" t="str">
        <f>A361</f>
        <v>D06.8</v>
      </c>
      <c r="B364" s="50" t="s">
        <v>252</v>
      </c>
      <c r="C364" s="49" t="str">
        <f>VLOOKUP(B364,'Composição dos serv'!A:I,3,FALSE)</f>
        <v>Remoção do entulho com caçamba</v>
      </c>
      <c r="D364" s="50" t="s">
        <v>291</v>
      </c>
      <c r="E364" s="49">
        <v>1</v>
      </c>
      <c r="F364" s="52">
        <f>IF(E364=1,SUM(F330:F360),0)</f>
        <v>179.20000000000005</v>
      </c>
      <c r="G364" s="51">
        <f>SUMIF('Composição dos serv'!A:A,B364,'Composição dos serv'!I:I)</f>
        <v>0</v>
      </c>
      <c r="H364" s="51">
        <f>IF(E364&gt;1,"OPÇÃO ERRADA",F364*G364)+IF(G367=1,H367*G364,0)</f>
        <v>0</v>
      </c>
      <c r="I364" s="24"/>
      <c r="J364" s="24"/>
      <c r="K364" s="39">
        <f>SUMIF('Composição dos serv'!A:A,B364,'Composição dos serv'!K:K)</f>
        <v>0.02</v>
      </c>
      <c r="L364" s="40">
        <f t="shared" si="97"/>
        <v>4</v>
      </c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25.5" hidden="1" customHeight="1">
      <c r="A365" s="26" t="str">
        <f>A361</f>
        <v>D06.8</v>
      </c>
      <c r="B365" s="50" t="s">
        <v>256</v>
      </c>
      <c r="C365" s="49" t="str">
        <f>VLOOKUP(B365,'Composição dos serv'!A:I,3,FALSE)</f>
        <v>Remoção e Transporte Mecanizado do entulho para bota fora</v>
      </c>
      <c r="D365" s="50" t="s">
        <v>291</v>
      </c>
      <c r="E365" s="49"/>
      <c r="F365" s="52">
        <f>IF(E365=1,SUM(F330:F360),0)</f>
        <v>0</v>
      </c>
      <c r="G365" s="51">
        <f>SUMIF('Composição dos serv'!A:A,B365,'Composição dos serv'!I:I)</f>
        <v>0</v>
      </c>
      <c r="H365" s="51">
        <f>IF(E365&gt;1,"OPÇÃO ERRADA",F365*G365)+IF(G367=2,H367*G365,0)</f>
        <v>0</v>
      </c>
      <c r="I365" s="24"/>
      <c r="J365" s="24"/>
      <c r="K365" s="39">
        <f>SUMIF('Composição dos serv'!A:A,B365,'Composição dos serv'!K:K)</f>
        <v>7.9999999999999988E-2</v>
      </c>
      <c r="L365" s="40">
        <f t="shared" si="97"/>
        <v>0</v>
      </c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 ht="25.5" customHeight="1">
      <c r="A366" s="26" t="str">
        <f>A361</f>
        <v>D06.8</v>
      </c>
      <c r="B366" s="50" t="s">
        <v>264</v>
      </c>
      <c r="C366" s="49" t="str">
        <f>VLOOKUP(B366,'Composição dos serv'!A:I,3,FALSE)</f>
        <v>Remoção de telhas em cimento amianto</v>
      </c>
      <c r="D366" s="26" t="str">
        <f>VLOOKUP(B366,'Composição dos serv'!A:I,4,FALSE)</f>
        <v>m²</v>
      </c>
      <c r="E366" s="49">
        <f>SUM(E338:E339)</f>
        <v>168</v>
      </c>
      <c r="F366" s="52"/>
      <c r="G366" s="51">
        <f>SUMIF('Composição dos serv'!A:A,B366,'Composição dos serv'!I:I)</f>
        <v>0</v>
      </c>
      <c r="H366" s="51">
        <f>G366*E366</f>
        <v>0</v>
      </c>
      <c r="I366" s="24"/>
      <c r="J366" s="24"/>
      <c r="K366" s="39"/>
      <c r="L366" s="40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:23" ht="25.5" customHeight="1">
      <c r="A367" s="53"/>
      <c r="B367" s="53"/>
      <c r="C367" s="37" t="str">
        <f>IF(E364&lt;&gt;1,IF(E365&lt;&gt;1,IF(H367&lt;&gt;0,"Há Material não reutilizavel qual a destinação para ele?",""),""),"")</f>
        <v/>
      </c>
      <c r="D367" s="168" t="str">
        <f>IF(E364&lt;&gt;1,IF(E365&lt;&gt;1,IF(H367&lt;&gt;0,"Caçamba = 1; Aterro = 2",""),""),"")</f>
        <v/>
      </c>
      <c r="E367" s="169"/>
      <c r="F367" s="170"/>
      <c r="G367" s="37">
        <v>1</v>
      </c>
      <c r="H367" s="54">
        <f>IF(E364=1,0,IF(E365=1,0,ROUNDUP((IF(E334&lt;&gt;"",F334*0.66,0)+IF(E337&lt;&gt;"",F337*0.57,0)+IF(E339&lt;&gt;"",F339,0)+IF(E340&lt;&gt;"",F340*0.2,0)+IF(E341&lt;&gt;"",F341,0)+IF(E343&lt;&gt;"",F343*0.22,0)+IF(E344&lt;&gt;"",F344,0)+IF(E345&lt;&gt;"",F345,0)+IF(E347&lt;&gt;"",F347*0.02,0)+IF(E349&lt;&gt;"",F349*0.09,0)+IF(E350&lt;&gt;"",F350*0.74,0)+IF(E351&lt;&gt;"",F351*(1-0.24),0)+IF(E354&lt;&gt;"",F354,0)+IF(E355&lt;&gt;"",F355,0)+IF(E356&lt;&gt;"",F356,0)+IF(E357&lt;&gt;"",F357,0)+IF(E358&lt;&gt;"",F358,0)+IF(E359&lt;&gt;"",F359,0)+IF(E360&lt;&gt;"",F360,0)+IF(E338&lt;&gt;"",F338,0)+IF(E336&lt;&gt;"",F336,0)),2)))</f>
        <v>0</v>
      </c>
      <c r="I367" s="24"/>
      <c r="J367" s="24"/>
      <c r="K367" s="39"/>
      <c r="L367" s="40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ht="25.5" customHeight="1">
      <c r="I368" s="24"/>
      <c r="J368" s="24"/>
      <c r="K368" s="39">
        <f>SUMIF('Composição dos serv'!A:A,'PESM Itutinga Piloes pt1'!B368,'Composição dos serv'!K:K)</f>
        <v>0</v>
      </c>
      <c r="L368" s="40">
        <f>ROUNDUP(K368*E368,0)</f>
        <v>0</v>
      </c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ht="25.5" customHeight="1">
      <c r="A369" s="84" t="str">
        <f>A327</f>
        <v>D06</v>
      </c>
      <c r="B369" s="185" t="str">
        <f>C327</f>
        <v>EDIFICAÇÃO 8 - Gleba D06</v>
      </c>
      <c r="C369" s="169"/>
      <c r="D369" s="186" t="s">
        <v>280</v>
      </c>
      <c r="E369" s="169"/>
      <c r="F369" s="169"/>
      <c r="G369" s="86">
        <f>SUM(H330:H366)</f>
        <v>0</v>
      </c>
      <c r="H369" s="87"/>
      <c r="I369" s="24"/>
      <c r="J369" s="24"/>
      <c r="K369" s="39">
        <f>IF(SUM(L362:L365)&gt;SUM(L330:L360),SUM(L362:L365),SUM(L330:L360))</f>
        <v>47</v>
      </c>
      <c r="L369" s="40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25.5" customHeight="1">
      <c r="A370" s="66"/>
      <c r="B370" s="53"/>
      <c r="D370" s="53"/>
      <c r="G370" s="67"/>
      <c r="H370" s="67"/>
      <c r="I370" s="24"/>
      <c r="J370" s="24"/>
      <c r="K370" s="39">
        <f>SUMIF('Composição dos serv'!A:A,'PESM Itutinga Piloes pt1'!B370,'Composição dos serv'!K:K)</f>
        <v>0</v>
      </c>
      <c r="L370" s="40">
        <f t="shared" ref="L370:L372" si="98">ROUNDUP(K370*E370,0)</f>
        <v>0</v>
      </c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ht="25.5" customHeight="1">
      <c r="A371" s="88" t="s">
        <v>306</v>
      </c>
      <c r="B371" s="88">
        <v>2</v>
      </c>
      <c r="C371" s="89" t="s">
        <v>307</v>
      </c>
      <c r="D371" s="89"/>
      <c r="E371" s="89"/>
      <c r="F371" s="89"/>
      <c r="G371" s="89"/>
      <c r="H371" s="89"/>
      <c r="I371" s="24"/>
      <c r="J371" s="24"/>
      <c r="K371" s="39">
        <f>SUMIF('Composição dos serv'!A:A,'PESM Itutinga Piloes pt1'!B371,'Composição dos serv'!K:K)</f>
        <v>0</v>
      </c>
      <c r="L371" s="40">
        <f t="shared" si="98"/>
        <v>0</v>
      </c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25.5" hidden="1" customHeight="1">
      <c r="A372" s="26"/>
      <c r="B372" s="66"/>
      <c r="C372" s="66"/>
      <c r="D372" s="66"/>
      <c r="E372" s="66"/>
      <c r="F372" s="66"/>
      <c r="G372" s="66"/>
      <c r="H372" s="66"/>
      <c r="I372" s="24"/>
      <c r="J372" s="24"/>
      <c r="K372" s="39">
        <f>SUMIF('Composição dos serv'!A:A,'PESM Itutinga Piloes pt1'!B372,'Composição dos serv'!K:K)</f>
        <v>0</v>
      </c>
      <c r="L372" s="40">
        <f t="shared" si="98"/>
        <v>0</v>
      </c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:23" ht="25.5" customHeight="1">
      <c r="A373" s="33" t="str">
        <f>CONCATENATE(A371,".1")</f>
        <v>D07.1</v>
      </c>
      <c r="B373" s="33" t="s">
        <v>67</v>
      </c>
      <c r="C373" s="48" t="str">
        <f>VLOOKUP(B373,'Composição dos serv'!A:I,3,FALSE)</f>
        <v>DEMOLIÇÃO DE CALÇADAS E/OU CAMINHOS</v>
      </c>
      <c r="D373" s="48"/>
      <c r="E373" s="48"/>
      <c r="F373" s="48"/>
      <c r="G373" s="48"/>
      <c r="H373" s="48"/>
      <c r="I373" s="24"/>
      <c r="J373" s="24"/>
      <c r="K373" s="31"/>
      <c r="L373" s="32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:23" ht="25.5" customHeight="1">
      <c r="A374" s="26" t="str">
        <f>A373</f>
        <v>D07.1</v>
      </c>
      <c r="B374" s="26" t="s">
        <v>69</v>
      </c>
      <c r="C374" s="49" t="str">
        <f>VLOOKUP(B374,'Composição dos serv'!A:I,3,FALSE)</f>
        <v>Demolição de calçada ou caminhos</v>
      </c>
      <c r="D374" s="50" t="str">
        <f>VLOOKUP(B374,'Composição dos serv'!A:I,4,FALSE)</f>
        <v>m²</v>
      </c>
      <c r="E374" s="49">
        <v>12</v>
      </c>
      <c r="F374" s="49">
        <f>ROUNDUP(E374*0.15,2)</f>
        <v>1.8</v>
      </c>
      <c r="G374" s="51">
        <f>SUMIF('Composição dos serv'!A:A,'PESM Itutinga Piloes pt1'!B374,'Composição dos serv'!I:I)</f>
        <v>0</v>
      </c>
      <c r="H374" s="51">
        <f t="shared" ref="H374:H375" si="99">E374*G374</f>
        <v>0</v>
      </c>
      <c r="I374" s="24"/>
      <c r="J374" s="24"/>
      <c r="K374" s="39">
        <f>SUMIF('Composição dos serv'!A:A,B374,'Composição dos serv'!K:K)</f>
        <v>0.12</v>
      </c>
      <c r="L374" s="40">
        <f t="shared" ref="L374:L404" si="100">ROUNDUP(K374*E374,0)</f>
        <v>2</v>
      </c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ht="25.5" hidden="1" customHeight="1">
      <c r="A375" s="26" t="str">
        <f>A373</f>
        <v>D07.1</v>
      </c>
      <c r="B375" s="26" t="s">
        <v>75</v>
      </c>
      <c r="C375" s="37" t="str">
        <f>VLOOKUP(B375,'Composição dos serv'!A:I,3,FALSE)</f>
        <v>Demolição de via Asfaltada, em paralelepípedo ou intertravados</v>
      </c>
      <c r="D375" s="26" t="str">
        <f>VLOOKUP(B375,'Composição dos serv'!A:I,4,FALSE)</f>
        <v>m²</v>
      </c>
      <c r="E375" s="37"/>
      <c r="F375" s="37">
        <f>ROUNDUP(E375*0.2,2)</f>
        <v>0</v>
      </c>
      <c r="G375" s="38">
        <f>SUMIF('Composição dos serv'!A:A,'PESM Itutinga Piloes pt1'!B375,'Composição dos serv'!I:I)</f>
        <v>0</v>
      </c>
      <c r="H375" s="38">
        <f t="shared" si="99"/>
        <v>0</v>
      </c>
      <c r="I375" s="24"/>
      <c r="J375" s="24"/>
      <c r="K375" s="39">
        <f>SUMIF('Composição dos serv'!A:A,B375,'Composição dos serv'!K:K)</f>
        <v>0.06</v>
      </c>
      <c r="L375" s="40">
        <f t="shared" si="100"/>
        <v>0</v>
      </c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ht="25.5" customHeight="1">
      <c r="A376" s="33" t="str">
        <f>CONCATENATE(A371,".2")</f>
        <v>D07.2</v>
      </c>
      <c r="B376" s="33" t="s">
        <v>85</v>
      </c>
      <c r="C376" s="34" t="str">
        <f>VLOOKUP(B376,'Composição dos serv'!A:I,3,FALSE)</f>
        <v>DEMOLIÇÃO DE MUROS E CERCAS</v>
      </c>
      <c r="D376" s="35"/>
      <c r="E376" s="35"/>
      <c r="F376" s="35"/>
      <c r="G376" s="35"/>
      <c r="H376" s="36"/>
      <c r="I376" s="24"/>
      <c r="J376" s="24"/>
      <c r="K376" s="39">
        <f>SUMIF('Composição dos serv'!A:A,B376,'Composição dos serv'!K:K)</f>
        <v>0</v>
      </c>
      <c r="L376" s="40">
        <f t="shared" si="100"/>
        <v>0</v>
      </c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:23" ht="25.5" hidden="1" customHeight="1">
      <c r="A377" s="26" t="str">
        <f>A376</f>
        <v>D07.2</v>
      </c>
      <c r="B377" s="26" t="s">
        <v>87</v>
      </c>
      <c r="C377" s="37" t="str">
        <f>VLOOKUP(B377,'Composição dos serv'!A:I,3,FALSE)</f>
        <v>Demolição de muro em alvenaria ou alambrados</v>
      </c>
      <c r="D377" s="26" t="str">
        <f>VLOOKUP(B377,'Composição dos serv'!A:I,4,FALSE)</f>
        <v>m</v>
      </c>
      <c r="E377" s="37"/>
      <c r="F377" s="37">
        <f>ROUNDUP(E377*0.2*2.4,2)</f>
        <v>0</v>
      </c>
      <c r="G377" s="38">
        <f>SUMIF('Composição dos serv'!A:A,'PESM Itutinga Piloes pt1'!B377,'Composição dos serv'!I:I)</f>
        <v>0</v>
      </c>
      <c r="H377" s="38">
        <f t="shared" ref="H377:H378" si="101">E377*G377</f>
        <v>0</v>
      </c>
      <c r="I377" s="24"/>
      <c r="J377" s="24"/>
      <c r="K377" s="39">
        <f>SUMIF('Composição dos serv'!A:A,B377,'Composição dos serv'!K:K)</f>
        <v>0.26</v>
      </c>
      <c r="L377" s="40">
        <f t="shared" si="100"/>
        <v>0</v>
      </c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:23" ht="25.5" customHeight="1">
      <c r="A378" s="26" t="str">
        <f>A376</f>
        <v>D07.2</v>
      </c>
      <c r="B378" s="26" t="s">
        <v>93</v>
      </c>
      <c r="C378" s="37" t="str">
        <f>VLOOKUP(B378,'Composição dos serv'!A:I,3,FALSE)</f>
        <v>Demolição de Cercas</v>
      </c>
      <c r="D378" s="26" t="str">
        <f>VLOOKUP(B378,'Composição dos serv'!A:I,4,FALSE)</f>
        <v>m</v>
      </c>
      <c r="E378" s="37">
        <v>270</v>
      </c>
      <c r="F378" s="37">
        <f>ROUNDUP(E378*0.1*1.8,2)</f>
        <v>48.6</v>
      </c>
      <c r="G378" s="38">
        <f>SUMIF('Composição dos serv'!A:A,'PESM Itutinga Piloes pt1'!B378,'Composição dos serv'!I:I)</f>
        <v>0</v>
      </c>
      <c r="H378" s="38">
        <f t="shared" si="101"/>
        <v>0</v>
      </c>
      <c r="I378" s="24"/>
      <c r="J378" s="24"/>
      <c r="K378" s="39">
        <f>SUMIF('Composição dos serv'!A:A,B378,'Composição dos serv'!K:K)</f>
        <v>0.06</v>
      </c>
      <c r="L378" s="40">
        <f t="shared" si="100"/>
        <v>17</v>
      </c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:23" ht="25.5" customHeight="1">
      <c r="A379" s="33" t="str">
        <f>CONCATENATE(A371,".3")</f>
        <v>D07.3</v>
      </c>
      <c r="B379" s="33" t="s">
        <v>99</v>
      </c>
      <c r="C379" s="48" t="str">
        <f>VLOOKUP(B379,'Composição dos serv'!A:I,3,FALSE)</f>
        <v>COBERTURA</v>
      </c>
      <c r="D379" s="48"/>
      <c r="E379" s="48"/>
      <c r="F379" s="48"/>
      <c r="G379" s="48"/>
      <c r="H379" s="48"/>
      <c r="I379" s="24"/>
      <c r="J379" s="24"/>
      <c r="K379" s="39">
        <f>SUMIF('Composição dos serv'!A:A,B379,'Composição dos serv'!K:K)</f>
        <v>0</v>
      </c>
      <c r="L379" s="40">
        <f t="shared" si="100"/>
        <v>0</v>
      </c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:23" ht="25.5" hidden="1" customHeight="1">
      <c r="A380" s="26" t="str">
        <f t="shared" ref="A380:A385" si="102">A379</f>
        <v>D07.3</v>
      </c>
      <c r="B380" s="26" t="s">
        <v>101</v>
      </c>
      <c r="C380" s="37" t="str">
        <f>VLOOKUP(B380,'Composição dos serv'!A:I,3,FALSE)</f>
        <v>Retirada de Estrutura de madeira sem telhas</v>
      </c>
      <c r="D380" s="26" t="str">
        <f>VLOOKUP(B380,'Composição dos serv'!A:I,4,FALSE)</f>
        <v>m²</v>
      </c>
      <c r="E380" s="37"/>
      <c r="F380" s="37">
        <f>ROUNDUP(E380*0.2,2)</f>
        <v>0</v>
      </c>
      <c r="G380" s="38">
        <f>SUMIF('Composição dos serv'!A:A,'PESM Itutinga Piloes pt1'!B380,'Composição dos serv'!I:I)</f>
        <v>0</v>
      </c>
      <c r="H380" s="38">
        <f t="shared" ref="H380:H385" si="103">E380*G380</f>
        <v>0</v>
      </c>
      <c r="I380" s="24"/>
      <c r="J380" s="24"/>
      <c r="K380" s="39">
        <f>SUMIF('Composição dos serv'!A:A,B380,'Composição dos serv'!K:K)</f>
        <v>0.03</v>
      </c>
      <c r="L380" s="40">
        <f t="shared" si="100"/>
        <v>0</v>
      </c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ht="25.5" customHeight="1">
      <c r="A381" s="26" t="str">
        <f t="shared" si="102"/>
        <v>D07.3</v>
      </c>
      <c r="B381" s="26" t="s">
        <v>105</v>
      </c>
      <c r="C381" s="37" t="str">
        <f>VLOOKUP(B381,'Composição dos serv'!A:I,3,FALSE)</f>
        <v>Retirada de Telhas de Barro com Estrutura em madeira (tesouras, treliças,...)</v>
      </c>
      <c r="D381" s="26" t="str">
        <f>VLOOKUP(B381,'Composição dos serv'!A:I,4,FALSE)</f>
        <v>m²</v>
      </c>
      <c r="E381" s="37">
        <v>30</v>
      </c>
      <c r="F381" s="37">
        <f>ROUNDUP(E381*0.08+E381*0.2,2)</f>
        <v>8.4</v>
      </c>
      <c r="G381" s="38">
        <f>SUMIF('Composição dos serv'!A:A,'PESM Itutinga Piloes pt1'!B381,'Composição dos serv'!I:I)</f>
        <v>0</v>
      </c>
      <c r="H381" s="38">
        <f t="shared" si="103"/>
        <v>0</v>
      </c>
      <c r="I381" s="24"/>
      <c r="J381" s="24"/>
      <c r="K381" s="39">
        <f>SUMIF('Composição dos serv'!A:A,B381,'Composição dos serv'!K:K)</f>
        <v>0.06</v>
      </c>
      <c r="L381" s="40">
        <f t="shared" si="100"/>
        <v>2</v>
      </c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ht="25.5" hidden="1" customHeight="1">
      <c r="A382" s="26" t="str">
        <f t="shared" si="102"/>
        <v>D07.3</v>
      </c>
      <c r="B382" s="26" t="s">
        <v>111</v>
      </c>
      <c r="C382" s="37" t="str">
        <f>VLOOKUP(B382,'Composição dos serv'!A:I,3,FALSE)</f>
        <v>Retirada de Telhas de amianto Sem Estrutura</v>
      </c>
      <c r="D382" s="26" t="str">
        <f>VLOOKUP(B382,'Composição dos serv'!A:I,4,FALSE)</f>
        <v>m²</v>
      </c>
      <c r="E382" s="37"/>
      <c r="F382" s="37"/>
      <c r="G382" s="38">
        <f>SUMIF('Composição dos serv'!A:A,'PESM Itutinga Piloes pt1'!B382,'Composição dos serv'!I:I)</f>
        <v>0</v>
      </c>
      <c r="H382" s="38">
        <f t="shared" si="103"/>
        <v>0</v>
      </c>
      <c r="I382" s="24"/>
      <c r="J382" s="24"/>
      <c r="K382" s="39">
        <f>SUMIF('Composição dos serv'!A:A,B382,'Composição dos serv'!K:K)</f>
        <v>0.02</v>
      </c>
      <c r="L382" s="40">
        <f t="shared" si="100"/>
        <v>0</v>
      </c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:23" ht="25.5" customHeight="1">
      <c r="A383" s="26" t="str">
        <f t="shared" si="102"/>
        <v>D07.3</v>
      </c>
      <c r="B383" s="26" t="s">
        <v>117</v>
      </c>
      <c r="C383" s="37" t="str">
        <f>VLOOKUP(B383,'Composição dos serv'!A:I,3,FALSE)</f>
        <v>Retirada de Telhas de amianto com Estrutura em madeira (tesouras, treliças,...)</v>
      </c>
      <c r="D383" s="26" t="str">
        <f>VLOOKUP(B383,'Composição dos serv'!A:I,4,FALSE)</f>
        <v>m²</v>
      </c>
      <c r="E383" s="37">
        <v>274</v>
      </c>
      <c r="F383" s="37">
        <f>ROUNDUP(E383*0.1,2)</f>
        <v>27.4</v>
      </c>
      <c r="G383" s="38">
        <f>SUMIF('Composição dos serv'!A:A,'PESM Itutinga Piloes pt1'!B383,'Composição dos serv'!I:I)</f>
        <v>0</v>
      </c>
      <c r="H383" s="38">
        <f t="shared" si="103"/>
        <v>0</v>
      </c>
      <c r="I383" s="24"/>
      <c r="J383" s="24"/>
      <c r="K383" s="39">
        <f>SUMIF('Composição dos serv'!A:A,B383,'Composição dos serv'!K:K)</f>
        <v>0.04</v>
      </c>
      <c r="L383" s="40">
        <f t="shared" si="100"/>
        <v>11</v>
      </c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ht="25.5" hidden="1" customHeight="1">
      <c r="A384" s="26" t="str">
        <f t="shared" si="102"/>
        <v>D07.3</v>
      </c>
      <c r="B384" s="26" t="s">
        <v>121</v>
      </c>
      <c r="C384" s="37" t="str">
        <f>VLOOKUP(B384,'Composição dos serv'!A:I,3,FALSE)</f>
        <v>Retirada de Laje em concreto</v>
      </c>
      <c r="D384" s="26" t="str">
        <f>VLOOKUP(B384,'Composição dos serv'!A:I,4,FALSE)</f>
        <v>m²</v>
      </c>
      <c r="E384" s="37"/>
      <c r="F384" s="37">
        <f>ROUNDUP(E384*0.12,2)</f>
        <v>0</v>
      </c>
      <c r="G384" s="38">
        <f>SUMIF('Composição dos serv'!A:A,'PESM Itutinga Piloes pt1'!B384,'Composição dos serv'!I:I)</f>
        <v>0</v>
      </c>
      <c r="H384" s="38">
        <f t="shared" si="103"/>
        <v>0</v>
      </c>
      <c r="I384" s="24"/>
      <c r="J384" s="24"/>
      <c r="K384" s="39">
        <f>SUMIF('Composição dos serv'!A:A,B384,'Composição dos serv'!K:K)</f>
        <v>0.09</v>
      </c>
      <c r="L384" s="40">
        <f t="shared" si="100"/>
        <v>0</v>
      </c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:23">
      <c r="A385" s="26" t="str">
        <f t="shared" si="102"/>
        <v>D07.3</v>
      </c>
      <c r="B385" s="26" t="s">
        <v>129</v>
      </c>
      <c r="C385" s="37" t="str">
        <f>VLOOKUP(B385,'Composição dos serv'!A:I,3,FALSE)</f>
        <v>Retirada de Forros qualquer com sistema de fixação</v>
      </c>
      <c r="D385" s="26" t="str">
        <f>VLOOKUP(B385,'Composição dos serv'!A:I,4,FALSE)</f>
        <v>m²</v>
      </c>
      <c r="E385" s="37">
        <v>182</v>
      </c>
      <c r="F385" s="37">
        <f>ROUNDUP(E385*0.1,2)</f>
        <v>18.2</v>
      </c>
      <c r="G385" s="38">
        <f>SUMIF('Composição dos serv'!A:A,'PESM Itutinga Piloes pt1'!B385,'Composição dos serv'!I:I)</f>
        <v>0</v>
      </c>
      <c r="H385" s="38">
        <f t="shared" si="103"/>
        <v>0</v>
      </c>
      <c r="I385" s="24"/>
      <c r="J385" s="24"/>
      <c r="K385" s="39">
        <f>SUMIF('Composição dos serv'!A:A,B385,'Composição dos serv'!K:K)</f>
        <v>0.04</v>
      </c>
      <c r="L385" s="40">
        <f t="shared" si="100"/>
        <v>8</v>
      </c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ht="25.5" customHeight="1">
      <c r="A386" s="33" t="str">
        <f>CONCATENATE(A371,".4")</f>
        <v>D07.4</v>
      </c>
      <c r="B386" s="33" t="s">
        <v>133</v>
      </c>
      <c r="C386" s="34" t="str">
        <f>VLOOKUP(B386,'Composição dos serv'!A:I,3,FALSE)</f>
        <v>PAREDES</v>
      </c>
      <c r="D386" s="35"/>
      <c r="E386" s="35"/>
      <c r="F386" s="35"/>
      <c r="G386" s="35"/>
      <c r="H386" s="36"/>
      <c r="I386" s="24"/>
      <c r="J386" s="24"/>
      <c r="K386" s="39">
        <f>SUMIF('Composição dos serv'!A:A,B386,'Composição dos serv'!K:K)</f>
        <v>0</v>
      </c>
      <c r="L386" s="40">
        <f t="shared" si="100"/>
        <v>0</v>
      </c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:23" ht="25.5" customHeight="1">
      <c r="A387" s="26" t="str">
        <f>A386</f>
        <v>D07.4</v>
      </c>
      <c r="B387" s="26" t="s">
        <v>135</v>
      </c>
      <c r="C387" s="37" t="str">
        <f>VLOOKUP(B387,'Composição dos serv'!A:I,3,FALSE)</f>
        <v>Parede em Alvenaria - usar área construida</v>
      </c>
      <c r="D387" s="26" t="str">
        <f>VLOOKUP(B387,'Composição dos serv'!A:I,4,FALSE)</f>
        <v>m²</v>
      </c>
      <c r="E387" s="49">
        <v>304</v>
      </c>
      <c r="F387" s="37">
        <f>ROUNDUP(E387*0.8,2)</f>
        <v>243.2</v>
      </c>
      <c r="G387" s="38">
        <f>SUMIF('Composição dos serv'!A:A,B387,'Composição dos serv'!I:I)</f>
        <v>0</v>
      </c>
      <c r="H387" s="38">
        <f t="shared" ref="H387:H389" si="104">E387*G387</f>
        <v>0</v>
      </c>
      <c r="I387" s="24"/>
      <c r="J387" s="24"/>
      <c r="K387" s="39">
        <f>SUMIF('Composição dos serv'!A:A,B387,'Composição dos serv'!K:K)</f>
        <v>0.15000000000000002</v>
      </c>
      <c r="L387" s="40">
        <f t="shared" si="100"/>
        <v>46</v>
      </c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:23" ht="25.5" hidden="1" customHeight="1">
      <c r="A388" s="26" t="str">
        <f>A386</f>
        <v>D07.4</v>
      </c>
      <c r="B388" s="26" t="s">
        <v>143</v>
      </c>
      <c r="C388" s="37" t="str">
        <f>VLOOKUP(B388,'Composição dos serv'!A:I,3,FALSE)</f>
        <v>Parede em Madeirite - Chapas de madeira compensada ou aglomerada - área construída</v>
      </c>
      <c r="D388" s="26" t="str">
        <f>VLOOKUP(B388,'Composição dos serv'!A:I,4,FALSE)</f>
        <v>m²</v>
      </c>
      <c r="E388" s="37"/>
      <c r="F388" s="37">
        <f>ROUNDUP(E388*0.21,2)</f>
        <v>0</v>
      </c>
      <c r="G388" s="38">
        <f>SUMIF('Composição dos serv'!A:A,B388,'Composição dos serv'!I:I)</f>
        <v>0</v>
      </c>
      <c r="H388" s="38">
        <f t="shared" si="104"/>
        <v>0</v>
      </c>
      <c r="I388" s="24"/>
      <c r="J388" s="24"/>
      <c r="K388" s="39">
        <f>SUMIF('Composição dos serv'!A:A,B388,'Composição dos serv'!K:K)</f>
        <v>0.15000000000000002</v>
      </c>
      <c r="L388" s="40">
        <f t="shared" si="100"/>
        <v>0</v>
      </c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ht="25.5" hidden="1" customHeight="1">
      <c r="A389" s="26" t="str">
        <f>A386</f>
        <v>D07.4</v>
      </c>
      <c r="B389" s="26" t="s">
        <v>145</v>
      </c>
      <c r="C389" s="37" t="str">
        <f>VLOOKUP(B389,'Composição dos serv'!A:I,3,FALSE)</f>
        <v>Parede em Lambril de madeira - área construída</v>
      </c>
      <c r="D389" s="26" t="str">
        <f>VLOOKUP(B389,'Composição dos serv'!A:I,4,FALSE)</f>
        <v>m²</v>
      </c>
      <c r="E389" s="37"/>
      <c r="F389" s="37">
        <f>ROUNDUP(E389*4*0.12,2)</f>
        <v>0</v>
      </c>
      <c r="G389" s="38">
        <f>SUMIF('Composição dos serv'!A:A,B389,'Composição dos serv'!I:I)</f>
        <v>0</v>
      </c>
      <c r="H389" s="38">
        <f t="shared" si="104"/>
        <v>0</v>
      </c>
      <c r="I389" s="24"/>
      <c r="J389" s="24"/>
      <c r="K389" s="39">
        <f>SUMIF('Composição dos serv'!A:A,B389,'Composição dos serv'!K:K)</f>
        <v>0.35000000000000009</v>
      </c>
      <c r="L389" s="40">
        <f t="shared" si="100"/>
        <v>0</v>
      </c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ht="25.5" customHeight="1">
      <c r="A390" s="33" t="str">
        <f>CONCATENATE(A371,".5")</f>
        <v>D07.5</v>
      </c>
      <c r="B390" s="33" t="s">
        <v>153</v>
      </c>
      <c r="C390" s="34" t="str">
        <f>VLOOKUP(B390,'Composição dos serv'!A:I,3,FALSE)</f>
        <v>PISO E FUNDAÇÃO</v>
      </c>
      <c r="D390" s="35"/>
      <c r="E390" s="35"/>
      <c r="F390" s="35"/>
      <c r="G390" s="35"/>
      <c r="H390" s="36"/>
      <c r="I390" s="24"/>
      <c r="J390" s="24"/>
      <c r="K390" s="39">
        <f>SUMIF('Composição dos serv'!A:A,B390,'Composição dos serv'!K:K)</f>
        <v>0</v>
      </c>
      <c r="L390" s="40">
        <f t="shared" si="100"/>
        <v>0</v>
      </c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ht="25.5" hidden="1" customHeight="1">
      <c r="A391" s="26" t="str">
        <f>A390</f>
        <v>D07.5</v>
      </c>
      <c r="B391" s="26" t="s">
        <v>155</v>
      </c>
      <c r="C391" s="37" t="str">
        <f>VLOOKUP(B391,'Composição dos serv'!A:I,3,FALSE)</f>
        <v>Piso da edificação com fundação</v>
      </c>
      <c r="D391" s="26" t="str">
        <f>VLOOKUP(B391,'Composição dos serv'!A:I,4,FALSE)</f>
        <v>m²</v>
      </c>
      <c r="E391" s="37"/>
      <c r="F391" s="37">
        <f>ROUNDUP(E391*0.24,2)</f>
        <v>0</v>
      </c>
      <c r="G391" s="38">
        <f>SUMIF('Composição dos serv'!A:A,B391,'Composição dos serv'!I:I)</f>
        <v>0</v>
      </c>
      <c r="H391" s="38">
        <f>E391*G391</f>
        <v>0</v>
      </c>
      <c r="I391" s="24"/>
      <c r="J391" s="24"/>
      <c r="K391" s="39">
        <f>SUMIF('Composição dos serv'!A:A,B391,'Composição dos serv'!K:K)</f>
        <v>0.17</v>
      </c>
      <c r="L391" s="40">
        <f t="shared" si="100"/>
        <v>0</v>
      </c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:23" ht="25.5" customHeight="1">
      <c r="A392" s="33" t="str">
        <f>CONCATENATE(A371,".6")</f>
        <v>D07.6</v>
      </c>
      <c r="B392" s="33" t="s">
        <v>161</v>
      </c>
      <c r="C392" s="48" t="str">
        <f>VLOOKUP(B392,'Composição dos serv'!A:I,3,FALSE)</f>
        <v>ESTRUTURAS DIVERSAS</v>
      </c>
      <c r="D392" s="48"/>
      <c r="E392" s="48"/>
      <c r="F392" s="48"/>
      <c r="G392" s="48"/>
      <c r="H392" s="48"/>
      <c r="I392" s="24"/>
      <c r="J392" s="24"/>
      <c r="K392" s="39">
        <f>SUMIF('Composição dos serv'!A:A,B392,'Composição dos serv'!K:K)</f>
        <v>0</v>
      </c>
      <c r="L392" s="40">
        <f t="shared" si="100"/>
        <v>0</v>
      </c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:23" ht="25.5" hidden="1" customHeight="1">
      <c r="A393" s="26" t="str">
        <f>A392</f>
        <v>D07.6</v>
      </c>
      <c r="B393" s="26" t="s">
        <v>163</v>
      </c>
      <c r="C393" s="37" t="str">
        <f>VLOOKUP(B393,'Composição dos serv'!A:I,3,FALSE)</f>
        <v>Escada em concreto com corrimão</v>
      </c>
      <c r="D393" s="26" t="str">
        <f>VLOOKUP(B393,'Composição dos serv'!A:I,4,FALSE)</f>
        <v>m</v>
      </c>
      <c r="E393" s="49"/>
      <c r="F393" s="37">
        <f>ROUNDUP(E393*1.2*0.25,2)</f>
        <v>0</v>
      </c>
      <c r="G393" s="38">
        <f>SUMIF('Composição dos serv'!A:A,'PESM Itutinga Piloes pt1'!B393,'Composição dos serv'!I:I)</f>
        <v>0</v>
      </c>
      <c r="H393" s="38">
        <f t="shared" ref="H393:H396" si="105">E393*G393</f>
        <v>0</v>
      </c>
      <c r="I393" s="24"/>
      <c r="J393" s="24"/>
      <c r="K393" s="39">
        <f>SUMIF('Composição dos serv'!A:A,B393,'Composição dos serv'!K:K)</f>
        <v>0.39</v>
      </c>
      <c r="L393" s="40">
        <f t="shared" si="100"/>
        <v>0</v>
      </c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:23" ht="25.5" customHeight="1">
      <c r="A394" s="26" t="str">
        <f>A392</f>
        <v>D07.6</v>
      </c>
      <c r="B394" s="26" t="s">
        <v>169</v>
      </c>
      <c r="C394" s="37" t="str">
        <f>VLOOKUP(B394,'Composição dos serv'!A:I,3,FALSE)</f>
        <v>Entrada de Energia - medidor</v>
      </c>
      <c r="D394" s="26" t="str">
        <f>VLOOKUP(B394,'Composição dos serv'!A:I,4,FALSE)</f>
        <v>un</v>
      </c>
      <c r="E394" s="37">
        <v>1</v>
      </c>
      <c r="F394" s="37">
        <f>ROUNDUP(E394*(3.2+(((3.1415*0.4^2)/4)*6)),2)</f>
        <v>3.96</v>
      </c>
      <c r="G394" s="38">
        <f>SUMIF('Composição dos serv'!A:A,'PESM Itutinga Piloes pt1'!B394,'Composição dos serv'!I:I)</f>
        <v>0</v>
      </c>
      <c r="H394" s="38">
        <f t="shared" si="105"/>
        <v>0</v>
      </c>
      <c r="I394" s="24"/>
      <c r="J394" s="24"/>
      <c r="K394" s="39">
        <f>SUMIF('Composição dos serv'!A:A,B394,'Composição dos serv'!K:K)</f>
        <v>1.7600000000000002</v>
      </c>
      <c r="L394" s="40">
        <f t="shared" si="100"/>
        <v>2</v>
      </c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:23" ht="25.5" customHeight="1">
      <c r="A395" s="26" t="str">
        <f>A392</f>
        <v>D07.6</v>
      </c>
      <c r="B395" s="26" t="s">
        <v>183</v>
      </c>
      <c r="C395" s="37" t="str">
        <f>VLOOKUP(B395,'Composição dos serv'!A:I,3,FALSE)</f>
        <v>Hidrômetro com abrigo</v>
      </c>
      <c r="D395" s="26" t="str">
        <f>VLOOKUP(B395,'Composição dos serv'!A:I,4,FALSE)</f>
        <v>un</v>
      </c>
      <c r="E395" s="37">
        <v>1</v>
      </c>
      <c r="F395" s="37">
        <f>ROUNDUP(E395*(1.7+0.1),2)</f>
        <v>1.8</v>
      </c>
      <c r="G395" s="38">
        <f>SUMIF('Composição dos serv'!A:A,'PESM Itutinga Piloes pt1'!B395,'Composição dos serv'!I:I)</f>
        <v>0</v>
      </c>
      <c r="H395" s="38">
        <f t="shared" si="105"/>
        <v>0</v>
      </c>
      <c r="I395" s="24"/>
      <c r="J395" s="24"/>
      <c r="K395" s="39">
        <f>SUMIF('Composição dos serv'!A:A,B395,'Composição dos serv'!K:K)</f>
        <v>0.44000000000000006</v>
      </c>
      <c r="L395" s="40">
        <f t="shared" si="100"/>
        <v>1</v>
      </c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:23" ht="25.5" customHeight="1">
      <c r="A396" s="26" t="str">
        <f>A394</f>
        <v>D07.6</v>
      </c>
      <c r="B396" s="26" t="s">
        <v>191</v>
      </c>
      <c r="C396" s="37" t="str">
        <f>VLOOKUP(B396,'Composição dos serv'!A:I,3,FALSE)</f>
        <v>Aterro de Fossa com retirada de tampa</v>
      </c>
      <c r="D396" s="26" t="str">
        <f>VLOOKUP(B396,'Composição dos serv'!A:I,4,FALSE)</f>
        <v>un</v>
      </c>
      <c r="E396" s="37">
        <v>1</v>
      </c>
      <c r="F396" s="37">
        <f>ROUNDUP(E396*(0.4),2)</f>
        <v>0.4</v>
      </c>
      <c r="G396" s="38">
        <f>SUMIF('Composição dos serv'!A:A,'PESM Itutinga Piloes pt1'!B396,'Composição dos serv'!I:I)</f>
        <v>0</v>
      </c>
      <c r="H396" s="38">
        <f t="shared" si="105"/>
        <v>0</v>
      </c>
      <c r="I396" s="24"/>
      <c r="J396" s="24"/>
      <c r="K396" s="39">
        <f>SUMIF('Composição dos serv'!A:A,B396,'Composição dos serv'!K:K)</f>
        <v>0.85000000000000009</v>
      </c>
      <c r="L396" s="40">
        <f t="shared" si="100"/>
        <v>1</v>
      </c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:23" ht="25.5" customHeight="1">
      <c r="A397" s="33" t="str">
        <f>CONCATENATE(A371,".7")</f>
        <v>D07.7</v>
      </c>
      <c r="B397" s="33" t="s">
        <v>195</v>
      </c>
      <c r="C397" s="48" t="str">
        <f>VLOOKUP(B397,'Composição dos serv'!A:I,3,FALSE)</f>
        <v>ACABAMENTOS DIVERSOS e OUTROS</v>
      </c>
      <c r="D397" s="48"/>
      <c r="E397" s="48"/>
      <c r="F397" s="48"/>
      <c r="G397" s="48"/>
      <c r="H397" s="48"/>
      <c r="I397" s="24"/>
      <c r="J397" s="24"/>
      <c r="K397" s="39">
        <f>SUMIF('Composição dos serv'!A:A,B397,'Composição dos serv'!K:K)</f>
        <v>0</v>
      </c>
      <c r="L397" s="40">
        <f t="shared" si="100"/>
        <v>0</v>
      </c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:23" ht="25.5" customHeight="1">
      <c r="A398" s="26" t="str">
        <f>A397</f>
        <v>D07.7</v>
      </c>
      <c r="B398" s="50" t="s">
        <v>197</v>
      </c>
      <c r="C398" s="49" t="str">
        <f>VLOOKUP(B398,'Composição dos serv'!A:I,3,FALSE)</f>
        <v>Remoção de aparelhos sanitarios - por banheiro</v>
      </c>
      <c r="D398" s="50" t="str">
        <f>VLOOKUP(B398,'Composição dos serv'!A:I,4,FALSE)</f>
        <v>unid</v>
      </c>
      <c r="E398" s="49">
        <v>1</v>
      </c>
      <c r="F398" s="37">
        <f t="shared" ref="F398:F400" si="106">ROUNDUP(E398*1,2)</f>
        <v>1</v>
      </c>
      <c r="G398" s="51">
        <f>SUMIF('Composição dos serv'!A:A,B398,'Composição dos serv'!I:I)</f>
        <v>0</v>
      </c>
      <c r="H398" s="51">
        <f t="shared" ref="H398:H404" si="107">E398*G398</f>
        <v>0</v>
      </c>
      <c r="I398" s="24"/>
      <c r="J398" s="24"/>
      <c r="K398" s="39">
        <f>SUMIF('Composição dos serv'!A:A,B398,'Composição dos serv'!K:K)</f>
        <v>0.19</v>
      </c>
      <c r="L398" s="40">
        <f t="shared" si="100"/>
        <v>1</v>
      </c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:23" ht="25.5" customHeight="1">
      <c r="A399" s="26" t="str">
        <f>A397</f>
        <v>D07.7</v>
      </c>
      <c r="B399" s="50" t="s">
        <v>209</v>
      </c>
      <c r="C399" s="37" t="str">
        <f>VLOOKUP(B399,'Composição dos serv'!A:I,3,FALSE)</f>
        <v>Remoção de aparelhos sanitarios - Cozinha e Área de Serviço</v>
      </c>
      <c r="D399" s="26" t="str">
        <f>VLOOKUP(B399,'Composição dos serv'!A:I,4,FALSE)</f>
        <v>unid</v>
      </c>
      <c r="E399" s="37">
        <v>1</v>
      </c>
      <c r="F399" s="37">
        <f t="shared" si="106"/>
        <v>1</v>
      </c>
      <c r="G399" s="51">
        <f>SUMIF('Composição dos serv'!A:A,B399,'Composição dos serv'!I:I)</f>
        <v>0</v>
      </c>
      <c r="H399" s="38">
        <f t="shared" si="107"/>
        <v>0</v>
      </c>
      <c r="I399" s="24"/>
      <c r="J399" s="24"/>
      <c r="K399" s="39">
        <f>SUMIF('Composição dos serv'!A:A,B399,'Composição dos serv'!K:K)</f>
        <v>0.21</v>
      </c>
      <c r="L399" s="40">
        <f t="shared" si="100"/>
        <v>1</v>
      </c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:23" ht="25.5" customHeight="1">
      <c r="A400" s="26" t="str">
        <f>A397</f>
        <v>D07.7</v>
      </c>
      <c r="B400" s="50" t="s">
        <v>215</v>
      </c>
      <c r="C400" s="37" t="str">
        <f>VLOOKUP(B400,'Composição dos serv'!A:I,3,FALSE)</f>
        <v>Remoção de caixa d'agua</v>
      </c>
      <c r="D400" s="26" t="str">
        <f>VLOOKUP(B400,'Composição dos serv'!A:I,4,FALSE)</f>
        <v>unid</v>
      </c>
      <c r="E400" s="37">
        <v>1</v>
      </c>
      <c r="F400" s="37">
        <f t="shared" si="106"/>
        <v>1</v>
      </c>
      <c r="G400" s="51">
        <f>SUMIF('Composição dos serv'!A:A,B400,'Composição dos serv'!I:I)</f>
        <v>0</v>
      </c>
      <c r="H400" s="38">
        <f t="shared" si="107"/>
        <v>0</v>
      </c>
      <c r="I400" s="24"/>
      <c r="J400" s="24"/>
      <c r="K400" s="39">
        <f>SUMIF('Composição dos serv'!A:A,B400,'Composição dos serv'!K:K)</f>
        <v>0.42000000000000004</v>
      </c>
      <c r="L400" s="40">
        <f t="shared" si="100"/>
        <v>1</v>
      </c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:23" ht="25.5" hidden="1" customHeight="1">
      <c r="A401" s="26" t="str">
        <f>A397</f>
        <v>D07.7</v>
      </c>
      <c r="B401" s="50" t="s">
        <v>219</v>
      </c>
      <c r="C401" s="37" t="str">
        <f>VLOOKUP(B401,'Composição dos serv'!A:I,3,FALSE)</f>
        <v>Remoção do Sistema de Para raios - área do telhado</v>
      </c>
      <c r="D401" s="26" t="str">
        <f>VLOOKUP(B401,'Composição dos serv'!A:I,4,FALSE)</f>
        <v>m²</v>
      </c>
      <c r="E401" s="37"/>
      <c r="F401" s="37">
        <f>ROUNDUP(E401/60,2)</f>
        <v>0</v>
      </c>
      <c r="G401" s="51">
        <f>SUMIF('Composição dos serv'!A:A,B401,'Composição dos serv'!I:I)</f>
        <v>0</v>
      </c>
      <c r="H401" s="38">
        <f t="shared" si="107"/>
        <v>0</v>
      </c>
      <c r="I401" s="24"/>
      <c r="J401" s="24"/>
      <c r="K401" s="39">
        <f>SUMIF('Composição dos serv'!A:A,B401,'Composição dos serv'!K:K)</f>
        <v>0.05</v>
      </c>
      <c r="L401" s="40">
        <f t="shared" si="100"/>
        <v>0</v>
      </c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spans="1:23" ht="25.5" customHeight="1">
      <c r="A402" s="26" t="str">
        <f>A397</f>
        <v>D07.7</v>
      </c>
      <c r="B402" s="50" t="s">
        <v>227</v>
      </c>
      <c r="C402" s="37" t="str">
        <f>VLOOKUP(B402,'Composição dos serv'!A:I,3,FALSE)</f>
        <v>Janelas</v>
      </c>
      <c r="D402" s="26" t="str">
        <f>VLOOKUP(B402,'Composição dos serv'!A:I,4,FALSE)</f>
        <v>un</v>
      </c>
      <c r="E402" s="37">
        <v>8</v>
      </c>
      <c r="F402" s="37">
        <f>ROUNDUP(E402*1.5*1.2*0.2,2)</f>
        <v>2.88</v>
      </c>
      <c r="G402" s="51">
        <f>SUMIF('Composição dos serv'!A:A,B402,'Composição dos serv'!I:I)</f>
        <v>0</v>
      </c>
      <c r="H402" s="38">
        <f t="shared" si="107"/>
        <v>0</v>
      </c>
      <c r="I402" s="24"/>
      <c r="J402" s="24"/>
      <c r="K402" s="39">
        <f>SUMIF('Composição dos serv'!A:A,B402,'Composição dos serv'!K:K)</f>
        <v>0</v>
      </c>
      <c r="L402" s="40">
        <f t="shared" si="100"/>
        <v>0</v>
      </c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spans="1:23" ht="25.5" customHeight="1">
      <c r="A403" s="26" t="str">
        <f>A397</f>
        <v>D07.7</v>
      </c>
      <c r="B403" s="50" t="s">
        <v>234</v>
      </c>
      <c r="C403" s="37" t="str">
        <f>VLOOKUP(B403,'Composição dos serv'!A:I,3,FALSE)</f>
        <v>Portas</v>
      </c>
      <c r="D403" s="26" t="str">
        <f>VLOOKUP(B403,'Composição dos serv'!A:I,4,FALSE)</f>
        <v>un</v>
      </c>
      <c r="E403" s="37">
        <v>4</v>
      </c>
      <c r="F403" s="37">
        <f>ROUNDUP(E403*2.1*0.9*0.2,2)</f>
        <v>1.52</v>
      </c>
      <c r="G403" s="51">
        <f>SUMIF('Composição dos serv'!A:A,B403,'Composição dos serv'!I:I)</f>
        <v>0</v>
      </c>
      <c r="H403" s="38">
        <f t="shared" si="107"/>
        <v>0</v>
      </c>
      <c r="I403" s="24"/>
      <c r="J403" s="24"/>
      <c r="K403" s="39">
        <f>SUMIF('Composição dos serv'!A:A,B403,'Composição dos serv'!K:K)</f>
        <v>0</v>
      </c>
      <c r="L403" s="40">
        <f t="shared" si="100"/>
        <v>0</v>
      </c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spans="1:23" ht="25.5" hidden="1" customHeight="1">
      <c r="A404" s="26" t="str">
        <f>A397</f>
        <v>D07.7</v>
      </c>
      <c r="B404" s="50" t="s">
        <v>236</v>
      </c>
      <c r="C404" s="37" t="str">
        <f>VLOOKUP(B404,'Composição dos serv'!A:I,3,FALSE)</f>
        <v>Guarda corpo de metal</v>
      </c>
      <c r="D404" s="26" t="str">
        <f>VLOOKUP(B404,'Composição dos serv'!A:I,4,FALSE)</f>
        <v>m</v>
      </c>
      <c r="E404" s="37"/>
      <c r="F404" s="37">
        <f>ROUNDUP(E404*1.7*0.05,2)</f>
        <v>0</v>
      </c>
      <c r="G404" s="51">
        <f>SUMIF('Composição dos serv'!A:A,B404,'Composição dos serv'!I:I)</f>
        <v>0</v>
      </c>
      <c r="H404" s="38">
        <f t="shared" si="107"/>
        <v>0</v>
      </c>
      <c r="I404" s="24"/>
      <c r="J404" s="24"/>
      <c r="K404" s="39">
        <f>SUMIF('Composição dos serv'!A:A,B404,'Composição dos serv'!K:K)</f>
        <v>0</v>
      </c>
      <c r="L404" s="40">
        <f t="shared" si="100"/>
        <v>0</v>
      </c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spans="1:23" ht="25.5" customHeight="1">
      <c r="A405" s="33" t="str">
        <f>CONCATENATE(A371,".8")</f>
        <v>D07.8</v>
      </c>
      <c r="B405" s="33" t="s">
        <v>240</v>
      </c>
      <c r="C405" s="48" t="str">
        <f>VLOOKUP(B405,'Composição dos serv'!A:I,3,FALSE)</f>
        <v>ENTULHO</v>
      </c>
      <c r="D405" s="48"/>
      <c r="E405" s="48"/>
      <c r="F405" s="48"/>
      <c r="G405" s="48"/>
      <c r="H405" s="48"/>
      <c r="I405" s="24"/>
      <c r="J405" s="24"/>
      <c r="K405" s="39">
        <f>SUMIF('Composição dos serv'!A:A,B405,'Composição dos serv'!K:K)</f>
        <v>0</v>
      </c>
      <c r="L405" s="40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:23" ht="25.5" hidden="1" customHeight="1">
      <c r="A406" s="26" t="str">
        <f>A405</f>
        <v>D07.8</v>
      </c>
      <c r="B406" s="50" t="s">
        <v>242</v>
      </c>
      <c r="C406" s="49" t="str">
        <f>VLOOKUP(B406,'Composição dos serv'!A:I,3,FALSE)</f>
        <v>Transporte e espalhamento Manual do entulho a ser reutilizado</v>
      </c>
      <c r="D406" s="50" t="s">
        <v>291</v>
      </c>
      <c r="E406" s="49"/>
      <c r="F406" s="52">
        <f>IF(E406=1,ROUNDUP((IF(E374&lt;&gt;"",F374,0)+IF(E375&lt;&gt;"",F375,0)+IF(E377&lt;&gt;"",F377,0)+IF(E378&lt;&gt;"",F378*0.34,0)+IF(E381&lt;&gt;"",F381*0.43,0)+IF(E384&lt;&gt;"",F384*0.8,0)+IF(E387&lt;&gt;"",F387*(0.78),0)+IF(E391&lt;&gt;"",F391*0.98,0)+IF(E393&lt;&gt;"",F393*0.91,0)+IF(E394&lt;&gt;"",F394*0.26,0)+IF(E395&lt;&gt;"",F395*0.24,0)+IF(E396&lt;&gt;"",F396,0)),2),0)</f>
        <v>0</v>
      </c>
      <c r="G406" s="51">
        <f>SUMIF('Composição dos serv'!A:A,B406,'Composição dos serv'!I:I)</f>
        <v>0</v>
      </c>
      <c r="H406" s="51">
        <f t="shared" ref="H406:H407" si="108">F406*G406</f>
        <v>0</v>
      </c>
      <c r="I406" s="24"/>
      <c r="J406" s="24"/>
      <c r="K406" s="39">
        <f>SUMIF('Composição dos serv'!A:A,B406,'Composição dos serv'!K:K)</f>
        <v>0.15000000000000002</v>
      </c>
      <c r="L406" s="40">
        <f t="shared" ref="L406:L409" si="109">ROUNDUP(K406*F406,0)</f>
        <v>0</v>
      </c>
      <c r="M406" s="45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:23" ht="25.5" hidden="1" customHeight="1">
      <c r="A407" s="26" t="str">
        <f>A405</f>
        <v>D07.8</v>
      </c>
      <c r="B407" s="50" t="s">
        <v>246</v>
      </c>
      <c r="C407" s="49" t="str">
        <f>VLOOKUP(B407,'Composição dos serv'!A:I,3,FALSE)</f>
        <v>Remoção e Transporte Mecanizado do entulho a ser reutilizado</v>
      </c>
      <c r="D407" s="50" t="s">
        <v>291</v>
      </c>
      <c r="E407" s="49"/>
      <c r="F407" s="52">
        <f>IF(E407=1,SUM(F374:F404)-H411,0)</f>
        <v>0</v>
      </c>
      <c r="G407" s="51">
        <f>SUMIF('Composição dos serv'!A:A,B407,'Composição dos serv'!I:I)</f>
        <v>0</v>
      </c>
      <c r="H407" s="51">
        <f t="shared" si="108"/>
        <v>0</v>
      </c>
      <c r="I407" s="24"/>
      <c r="J407" s="24"/>
      <c r="K407" s="39">
        <f>SUMIF('Composição dos serv'!A:A,B407,'Composição dos serv'!K:K)</f>
        <v>0.02</v>
      </c>
      <c r="L407" s="40">
        <f t="shared" si="109"/>
        <v>0</v>
      </c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spans="1:23" ht="25.5" hidden="1" customHeight="1">
      <c r="A408" s="26" t="str">
        <f>A405</f>
        <v>D07.8</v>
      </c>
      <c r="B408" s="50" t="s">
        <v>252</v>
      </c>
      <c r="C408" s="49" t="str">
        <f>VLOOKUP(B408,'Composição dos serv'!A:I,3,FALSE)</f>
        <v>Remoção do entulho com caçamba</v>
      </c>
      <c r="D408" s="50" t="s">
        <v>291</v>
      </c>
      <c r="E408" s="49"/>
      <c r="F408" s="52">
        <f>IF(E408=1,SUM(F374:F404),0)</f>
        <v>0</v>
      </c>
      <c r="G408" s="51">
        <f>SUMIF('Composição dos serv'!A:A,B408,'Composição dos serv'!I:I)</f>
        <v>0</v>
      </c>
      <c r="H408" s="51">
        <f>IF(E408&gt;1,"OPÇÃO ERRADA",F408*G408)+IF(G411=1,H411*G408,0)</f>
        <v>0</v>
      </c>
      <c r="I408" s="24"/>
      <c r="J408" s="24"/>
      <c r="K408" s="39">
        <f>SUMIF('Composição dos serv'!A:A,B408,'Composição dos serv'!K:K)</f>
        <v>0.02</v>
      </c>
      <c r="L408" s="40">
        <f t="shared" si="109"/>
        <v>0</v>
      </c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spans="1:23" ht="25.5" customHeight="1">
      <c r="A409" s="26" t="str">
        <f>A405</f>
        <v>D07.8</v>
      </c>
      <c r="B409" s="50" t="s">
        <v>256</v>
      </c>
      <c r="C409" s="49" t="str">
        <f>VLOOKUP(B409,'Composição dos serv'!A:I,3,FALSE)</f>
        <v>Remoção e Transporte Mecanizado do entulho para bota fora</v>
      </c>
      <c r="D409" s="50" t="s">
        <v>291</v>
      </c>
      <c r="E409" s="49">
        <v>1</v>
      </c>
      <c r="F409" s="52">
        <f>IF(E409=1,SUM(F374:F404),0)</f>
        <v>361.15999999999991</v>
      </c>
      <c r="G409" s="51">
        <f>SUMIF('Composição dos serv'!A:A,B409,'Composição dos serv'!I:I)</f>
        <v>0</v>
      </c>
      <c r="H409" s="51">
        <f>IF(E409&gt;1,"OPÇÃO ERRADA",F409*G409)+IF(G411=2,H411*G409,0)</f>
        <v>0</v>
      </c>
      <c r="I409" s="24"/>
      <c r="J409" s="24"/>
      <c r="K409" s="39">
        <f>SUMIF('Composição dos serv'!A:A,B409,'Composição dos serv'!K:K)</f>
        <v>7.9999999999999988E-2</v>
      </c>
      <c r="L409" s="40">
        <f t="shared" si="109"/>
        <v>29</v>
      </c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:23" ht="25.5" customHeight="1">
      <c r="A410" s="26" t="str">
        <f>A405</f>
        <v>D07.8</v>
      </c>
      <c r="B410" s="50" t="s">
        <v>264</v>
      </c>
      <c r="C410" s="49" t="str">
        <f>VLOOKUP(B410,'Composição dos serv'!A:I,3,FALSE)</f>
        <v>Remoção de telhas em cimento amianto</v>
      </c>
      <c r="D410" s="26" t="str">
        <f>VLOOKUP(B410,'Composição dos serv'!A:I,4,FALSE)</f>
        <v>m²</v>
      </c>
      <c r="E410" s="49">
        <f>SUM(E382:E383)</f>
        <v>274</v>
      </c>
      <c r="F410" s="52"/>
      <c r="G410" s="51">
        <f>SUMIF('Composição dos serv'!A:A,B410,'Composição dos serv'!I:I)</f>
        <v>0</v>
      </c>
      <c r="H410" s="51">
        <f>G410*E410</f>
        <v>0</v>
      </c>
      <c r="I410" s="24"/>
      <c r="J410" s="24"/>
      <c r="K410" s="39"/>
      <c r="L410" s="40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:23" ht="25.5" customHeight="1">
      <c r="A411" s="53"/>
      <c r="B411" s="53"/>
      <c r="C411" s="37" t="str">
        <f>IF(E408&lt;&gt;1,IF(E409&lt;&gt;1,IF(H411&lt;&gt;0,"Há Material não reutilizavel qual a destinação para ele?",""),""),"")</f>
        <v/>
      </c>
      <c r="D411" s="168" t="str">
        <f>IF(E408&lt;&gt;1,IF(E409&lt;&gt;1,IF(H411&lt;&gt;0,"Caçamba = 1; Aterro = 2",""),""),"")</f>
        <v/>
      </c>
      <c r="E411" s="169"/>
      <c r="F411" s="170"/>
      <c r="G411" s="37">
        <v>1</v>
      </c>
      <c r="H411" s="54">
        <f>IF(E408=1,0,IF(E409=1,0,ROUNDUP((IF(E378&lt;&gt;"",F378*0.66,0)+IF(E381&lt;&gt;"",F381*0.57,0)+IF(E383&lt;&gt;"",F383,0)+IF(E384&lt;&gt;"",F384*0.2,0)+IF(E385&lt;&gt;"",F385,0)+IF(E387&lt;&gt;"",F387*0.22,0)+IF(E388&lt;&gt;"",F388,0)+IF(E389&lt;&gt;"",F389,0)+IF(E391&lt;&gt;"",F391*0.02,0)+IF(E393&lt;&gt;"",F393*0.09,0)+IF(E394&lt;&gt;"",F394*0.74,0)+IF(E395&lt;&gt;"",F395*(1-0.24),0)+IF(E398&lt;&gt;"",F398,0)+IF(E399&lt;&gt;"",F399,0)+IF(E400&lt;&gt;"",F400,0)+IF(E401&lt;&gt;"",F401,0)+IF(E402&lt;&gt;"",F402,0)+IF(E403&lt;&gt;"",F403,0)+IF(E404&lt;&gt;"",F404,0)+IF(E382&lt;&gt;"",F382,0)+IF(E380&lt;&gt;"",F380,0)),2)))</f>
        <v>0</v>
      </c>
      <c r="I411" s="24"/>
      <c r="J411" s="24"/>
      <c r="K411" s="39"/>
      <c r="L411" s="40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:23" ht="25.5" customHeight="1">
      <c r="I412" s="24"/>
      <c r="J412" s="24"/>
      <c r="K412" s="39">
        <f>SUMIF('Composição dos serv'!A:A,'PESM Itutinga Piloes pt1'!B412,'Composição dos serv'!K:K)</f>
        <v>0</v>
      </c>
      <c r="L412" s="40">
        <f>ROUNDUP(K412*E412,0)</f>
        <v>0</v>
      </c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spans="1:23" ht="25.5" customHeight="1">
      <c r="A413" s="88" t="str">
        <f>A371</f>
        <v>D07</v>
      </c>
      <c r="B413" s="181" t="str">
        <f>C371</f>
        <v>EDIFICAÇÃO 9 - Gleba D07</v>
      </c>
      <c r="C413" s="169"/>
      <c r="D413" s="182" t="s">
        <v>280</v>
      </c>
      <c r="E413" s="169"/>
      <c r="F413" s="169"/>
      <c r="G413" s="90">
        <f>SUM(H374:H410)</f>
        <v>0</v>
      </c>
      <c r="H413" s="91"/>
      <c r="I413" s="24"/>
      <c r="J413" s="24"/>
      <c r="K413" s="39">
        <f>IF(SUM(L406:L409)&gt;SUM(L374:L404),SUM(L406:L409),SUM(L374:L404))</f>
        <v>93</v>
      </c>
      <c r="L413" s="40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:23" ht="25.5" customHeight="1">
      <c r="A414" s="66"/>
      <c r="B414" s="53"/>
      <c r="D414" s="53"/>
      <c r="G414" s="67"/>
      <c r="H414" s="67"/>
      <c r="I414" s="24"/>
      <c r="J414" s="24"/>
      <c r="K414" s="39">
        <f>SUMIF('Composição dos serv'!A:A,'PESM Itutinga Piloes pt1'!B414,'Composição dos serv'!K:K)</f>
        <v>0</v>
      </c>
      <c r="L414" s="40">
        <f t="shared" ref="L414:L416" si="110">ROUNDUP(K414*E414,0)</f>
        <v>0</v>
      </c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spans="1:23" ht="25.5" customHeight="1">
      <c r="A415" s="46" t="s">
        <v>308</v>
      </c>
      <c r="B415" s="46">
        <v>2</v>
      </c>
      <c r="C415" s="47" t="s">
        <v>309</v>
      </c>
      <c r="D415" s="47"/>
      <c r="E415" s="47"/>
      <c r="F415" s="47"/>
      <c r="G415" s="47"/>
      <c r="H415" s="47"/>
      <c r="I415" s="24"/>
      <c r="J415" s="24"/>
      <c r="K415" s="39">
        <f>SUMIF('Composição dos serv'!A:A,'PESM Itutinga Piloes pt1'!B415,'Composição dos serv'!K:K)</f>
        <v>0</v>
      </c>
      <c r="L415" s="40">
        <f t="shared" si="110"/>
        <v>0</v>
      </c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:23" ht="25.5" hidden="1" customHeight="1">
      <c r="A416" s="26"/>
      <c r="B416" s="66"/>
      <c r="C416" s="66"/>
      <c r="D416" s="66"/>
      <c r="E416" s="66"/>
      <c r="F416" s="66"/>
      <c r="G416" s="66"/>
      <c r="H416" s="66"/>
      <c r="I416" s="24"/>
      <c r="J416" s="24"/>
      <c r="K416" s="39">
        <f>SUMIF('Composição dos serv'!A:A,'PESM Itutinga Piloes pt1'!B416,'Composição dos serv'!K:K)</f>
        <v>0</v>
      </c>
      <c r="L416" s="40">
        <f t="shared" si="110"/>
        <v>0</v>
      </c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spans="1:23" ht="25.5" customHeight="1">
      <c r="A417" s="33" t="str">
        <f>CONCATENATE(A415,".1")</f>
        <v>D10.1</v>
      </c>
      <c r="B417" s="33" t="s">
        <v>67</v>
      </c>
      <c r="C417" s="48" t="str">
        <f>VLOOKUP(B417,'Composição dos serv'!A:I,3,FALSE)</f>
        <v>DEMOLIÇÃO DE CALÇADAS E/OU CAMINHOS</v>
      </c>
      <c r="D417" s="48"/>
      <c r="E417" s="48"/>
      <c r="F417" s="48"/>
      <c r="G417" s="48"/>
      <c r="H417" s="48"/>
      <c r="I417" s="24"/>
      <c r="J417" s="24"/>
      <c r="K417" s="31"/>
      <c r="L417" s="32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spans="1:23" ht="25.5" customHeight="1">
      <c r="A418" s="26" t="str">
        <f>A417</f>
        <v>D10.1</v>
      </c>
      <c r="B418" s="26" t="s">
        <v>69</v>
      </c>
      <c r="C418" s="49" t="str">
        <f>VLOOKUP(B418,'Composição dos serv'!A:I,3,FALSE)</f>
        <v>Demolição de calçada ou caminhos</v>
      </c>
      <c r="D418" s="50" t="str">
        <f>VLOOKUP(B418,'Composição dos serv'!A:I,4,FALSE)</f>
        <v>m²</v>
      </c>
      <c r="E418" s="49">
        <v>50</v>
      </c>
      <c r="F418" s="49">
        <f>ROUNDUP(E418*0.15,2)</f>
        <v>7.5</v>
      </c>
      <c r="G418" s="51">
        <f>SUMIF('Composição dos serv'!A:A,'PESM Itutinga Piloes pt1'!B418,'Composição dos serv'!I:I)</f>
        <v>0</v>
      </c>
      <c r="H418" s="51">
        <f t="shared" ref="H418:H419" si="111">E418*G418</f>
        <v>0</v>
      </c>
      <c r="I418" s="24"/>
      <c r="J418" s="24"/>
      <c r="K418" s="39">
        <f>SUMIF('Composição dos serv'!A:A,B418,'Composição dos serv'!K:K)</f>
        <v>0.12</v>
      </c>
      <c r="L418" s="40">
        <f t="shared" ref="L418:L448" si="112">ROUNDUP(K418*E418,0)</f>
        <v>6</v>
      </c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spans="1:23" ht="25.5" customHeight="1">
      <c r="A419" s="26" t="str">
        <f>A417</f>
        <v>D10.1</v>
      </c>
      <c r="B419" s="26" t="s">
        <v>75</v>
      </c>
      <c r="C419" s="37" t="str">
        <f>VLOOKUP(B419,'Composição dos serv'!A:I,3,FALSE)</f>
        <v>Demolição de via Asfaltada, em paralelepípedo ou intertravados</v>
      </c>
      <c r="D419" s="26" t="str">
        <f>VLOOKUP(B419,'Composição dos serv'!A:I,4,FALSE)</f>
        <v>m²</v>
      </c>
      <c r="E419" s="37">
        <v>25</v>
      </c>
      <c r="F419" s="37">
        <f>ROUNDUP(E419*0.2,2)</f>
        <v>5</v>
      </c>
      <c r="G419" s="38">
        <f>SUMIF('Composição dos serv'!A:A,'PESM Itutinga Piloes pt1'!B419,'Composição dos serv'!I:I)</f>
        <v>0</v>
      </c>
      <c r="H419" s="38">
        <f t="shared" si="111"/>
        <v>0</v>
      </c>
      <c r="I419" s="24"/>
      <c r="J419" s="24"/>
      <c r="K419" s="39">
        <f>SUMIF('Composição dos serv'!A:A,B419,'Composição dos serv'!K:K)</f>
        <v>0.06</v>
      </c>
      <c r="L419" s="40">
        <f t="shared" si="112"/>
        <v>2</v>
      </c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spans="1:23" ht="25.5" customHeight="1">
      <c r="A420" s="33" t="str">
        <f>CONCATENATE(A415,".2")</f>
        <v>D10.2</v>
      </c>
      <c r="B420" s="33" t="s">
        <v>85</v>
      </c>
      <c r="C420" s="34" t="str">
        <f>VLOOKUP(B420,'Composição dos serv'!A:I,3,FALSE)</f>
        <v>DEMOLIÇÃO DE MUROS E CERCAS</v>
      </c>
      <c r="D420" s="35"/>
      <c r="E420" s="35"/>
      <c r="F420" s="35"/>
      <c r="G420" s="35"/>
      <c r="H420" s="36"/>
      <c r="I420" s="24"/>
      <c r="J420" s="24"/>
      <c r="K420" s="39">
        <f>SUMIF('Composição dos serv'!A:A,B420,'Composição dos serv'!K:K)</f>
        <v>0</v>
      </c>
      <c r="L420" s="40">
        <f t="shared" si="112"/>
        <v>0</v>
      </c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spans="1:23" ht="25.5" customHeight="1">
      <c r="A421" s="26" t="str">
        <f>A420</f>
        <v>D10.2</v>
      </c>
      <c r="B421" s="26" t="s">
        <v>87</v>
      </c>
      <c r="C421" s="37" t="str">
        <f>VLOOKUP(B421,'Composição dos serv'!A:I,3,FALSE)</f>
        <v>Demolição de muro em alvenaria ou alambrados</v>
      </c>
      <c r="D421" s="26" t="str">
        <f>VLOOKUP(B421,'Composição dos serv'!A:I,4,FALSE)</f>
        <v>m</v>
      </c>
      <c r="E421" s="37">
        <v>60</v>
      </c>
      <c r="F421" s="37">
        <f>ROUNDUP(E421*0.2*2.4,2)</f>
        <v>28.8</v>
      </c>
      <c r="G421" s="38">
        <f>SUMIF('Composição dos serv'!A:A,'PESM Itutinga Piloes pt1'!B421,'Composição dos serv'!I:I)</f>
        <v>0</v>
      </c>
      <c r="H421" s="38">
        <f t="shared" ref="H421:H422" si="113">E421*G421</f>
        <v>0</v>
      </c>
      <c r="I421" s="24"/>
      <c r="J421" s="24"/>
      <c r="K421" s="39">
        <f>SUMIF('Composição dos serv'!A:A,B421,'Composição dos serv'!K:K)</f>
        <v>0.26</v>
      </c>
      <c r="L421" s="40">
        <f t="shared" si="112"/>
        <v>16</v>
      </c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spans="1:23" ht="25.5" customHeight="1">
      <c r="A422" s="26" t="str">
        <f>A420</f>
        <v>D10.2</v>
      </c>
      <c r="B422" s="26" t="s">
        <v>93</v>
      </c>
      <c r="C422" s="37" t="str">
        <f>VLOOKUP(B422,'Composição dos serv'!A:I,3,FALSE)</f>
        <v>Demolição de Cercas</v>
      </c>
      <c r="D422" s="26" t="str">
        <f>VLOOKUP(B422,'Composição dos serv'!A:I,4,FALSE)</f>
        <v>m</v>
      </c>
      <c r="E422" s="37">
        <v>350</v>
      </c>
      <c r="F422" s="37">
        <f>ROUNDUP(E422*0.1*1.8,2)</f>
        <v>63</v>
      </c>
      <c r="G422" s="38">
        <f>SUMIF('Composição dos serv'!A:A,'PESM Itutinga Piloes pt1'!B422,'Composição dos serv'!I:I)</f>
        <v>0</v>
      </c>
      <c r="H422" s="38">
        <f t="shared" si="113"/>
        <v>0</v>
      </c>
      <c r="I422" s="24"/>
      <c r="J422" s="24"/>
      <c r="K422" s="39">
        <f>SUMIF('Composição dos serv'!A:A,B422,'Composição dos serv'!K:K)</f>
        <v>0.06</v>
      </c>
      <c r="L422" s="40">
        <f t="shared" si="112"/>
        <v>21</v>
      </c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spans="1:23" ht="25.5" customHeight="1">
      <c r="A423" s="33" t="str">
        <f>CONCATENATE(A415,".3")</f>
        <v>D10.3</v>
      </c>
      <c r="B423" s="33" t="s">
        <v>99</v>
      </c>
      <c r="C423" s="48" t="str">
        <f>VLOOKUP(B423,'Composição dos serv'!A:I,3,FALSE)</f>
        <v>COBERTURA</v>
      </c>
      <c r="D423" s="48"/>
      <c r="E423" s="48"/>
      <c r="F423" s="48"/>
      <c r="G423" s="48"/>
      <c r="H423" s="48"/>
      <c r="I423" s="24"/>
      <c r="J423" s="24"/>
      <c r="K423" s="39">
        <f>SUMIF('Composição dos serv'!A:A,B423,'Composição dos serv'!K:K)</f>
        <v>0</v>
      </c>
      <c r="L423" s="40">
        <f t="shared" si="112"/>
        <v>0</v>
      </c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spans="1:23" ht="25.5" hidden="1" customHeight="1">
      <c r="A424" s="26" t="str">
        <f t="shared" ref="A424:A429" si="114">A423</f>
        <v>D10.3</v>
      </c>
      <c r="B424" s="26" t="s">
        <v>101</v>
      </c>
      <c r="C424" s="37" t="str">
        <f>VLOOKUP(B424,'Composição dos serv'!A:I,3,FALSE)</f>
        <v>Retirada de Estrutura de madeira sem telhas</v>
      </c>
      <c r="D424" s="26" t="str">
        <f>VLOOKUP(B424,'Composição dos serv'!A:I,4,FALSE)</f>
        <v>m²</v>
      </c>
      <c r="E424" s="37"/>
      <c r="F424" s="37">
        <f>ROUNDUP(E424*0.2,2)</f>
        <v>0</v>
      </c>
      <c r="G424" s="38">
        <f>SUMIF('Composição dos serv'!A:A,'PESM Itutinga Piloes pt1'!B424,'Composição dos serv'!I:I)</f>
        <v>0</v>
      </c>
      <c r="H424" s="38">
        <f t="shared" ref="H424:H429" si="115">E424*G424</f>
        <v>0</v>
      </c>
      <c r="I424" s="24"/>
      <c r="J424" s="24"/>
      <c r="K424" s="39">
        <f>SUMIF('Composição dos serv'!A:A,B424,'Composição dos serv'!K:K)</f>
        <v>0.03</v>
      </c>
      <c r="L424" s="40">
        <f t="shared" si="112"/>
        <v>0</v>
      </c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spans="1:23" ht="25.5" customHeight="1">
      <c r="A425" s="26" t="str">
        <f t="shared" si="114"/>
        <v>D10.3</v>
      </c>
      <c r="B425" s="26" t="s">
        <v>105</v>
      </c>
      <c r="C425" s="37" t="str">
        <f>VLOOKUP(B425,'Composição dos serv'!A:I,3,FALSE)</f>
        <v>Retirada de Telhas de Barro com Estrutura em madeira (tesouras, treliças,...)</v>
      </c>
      <c r="D425" s="26" t="str">
        <f>VLOOKUP(B425,'Composição dos serv'!A:I,4,FALSE)</f>
        <v>m²</v>
      </c>
      <c r="E425" s="37">
        <v>380</v>
      </c>
      <c r="F425" s="37">
        <f>ROUNDUP(E425*0.08+E425*0.2,2)</f>
        <v>106.4</v>
      </c>
      <c r="G425" s="38">
        <f>SUMIF('Composição dos serv'!A:A,'PESM Itutinga Piloes pt1'!B425,'Composição dos serv'!I:I)</f>
        <v>0</v>
      </c>
      <c r="H425" s="38">
        <f t="shared" si="115"/>
        <v>0</v>
      </c>
      <c r="I425" s="24"/>
      <c r="J425" s="24"/>
      <c r="K425" s="39">
        <f>SUMIF('Composição dos serv'!A:A,B425,'Composição dos serv'!K:K)</f>
        <v>0.06</v>
      </c>
      <c r="L425" s="40">
        <f t="shared" si="112"/>
        <v>23</v>
      </c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spans="1:23" ht="25.5" hidden="1" customHeight="1">
      <c r="A426" s="26" t="str">
        <f t="shared" si="114"/>
        <v>D10.3</v>
      </c>
      <c r="B426" s="26" t="s">
        <v>111</v>
      </c>
      <c r="C426" s="37" t="str">
        <f>VLOOKUP(B426,'Composição dos serv'!A:I,3,FALSE)</f>
        <v>Retirada de Telhas de amianto Sem Estrutura</v>
      </c>
      <c r="D426" s="26" t="str">
        <f>VLOOKUP(B426,'Composição dos serv'!A:I,4,FALSE)</f>
        <v>m²</v>
      </c>
      <c r="E426" s="37"/>
      <c r="F426" s="37"/>
      <c r="G426" s="38">
        <f>SUMIF('Composição dos serv'!A:A,'PESM Itutinga Piloes pt1'!B426,'Composição dos serv'!I:I)</f>
        <v>0</v>
      </c>
      <c r="H426" s="38">
        <f t="shared" si="115"/>
        <v>0</v>
      </c>
      <c r="I426" s="24"/>
      <c r="J426" s="24"/>
      <c r="K426" s="39">
        <f>SUMIF('Composição dos serv'!A:A,B426,'Composição dos serv'!K:K)</f>
        <v>0.02</v>
      </c>
      <c r="L426" s="40">
        <f t="shared" si="112"/>
        <v>0</v>
      </c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spans="1:23" ht="25.5" hidden="1" customHeight="1">
      <c r="A427" s="26" t="str">
        <f t="shared" si="114"/>
        <v>D10.3</v>
      </c>
      <c r="B427" s="26" t="s">
        <v>117</v>
      </c>
      <c r="C427" s="37" t="str">
        <f>VLOOKUP(B427,'Composição dos serv'!A:I,3,FALSE)</f>
        <v>Retirada de Telhas de amianto com Estrutura em madeira (tesouras, treliças,...)</v>
      </c>
      <c r="D427" s="26" t="str">
        <f>VLOOKUP(B427,'Composição dos serv'!A:I,4,FALSE)</f>
        <v>m²</v>
      </c>
      <c r="E427" s="37"/>
      <c r="F427" s="37">
        <f>ROUNDUP(E427*0.1,2)</f>
        <v>0</v>
      </c>
      <c r="G427" s="38">
        <f>SUMIF('Composição dos serv'!A:A,'PESM Itutinga Piloes pt1'!B427,'Composição dos serv'!I:I)</f>
        <v>0</v>
      </c>
      <c r="H427" s="38">
        <f t="shared" si="115"/>
        <v>0</v>
      </c>
      <c r="I427" s="24"/>
      <c r="J427" s="24"/>
      <c r="K427" s="39">
        <f>SUMIF('Composição dos serv'!A:A,B427,'Composição dos serv'!K:K)</f>
        <v>0.04</v>
      </c>
      <c r="L427" s="40">
        <f t="shared" si="112"/>
        <v>0</v>
      </c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:23" ht="25.5" hidden="1" customHeight="1">
      <c r="A428" s="26" t="str">
        <f t="shared" si="114"/>
        <v>D10.3</v>
      </c>
      <c r="B428" s="26" t="s">
        <v>121</v>
      </c>
      <c r="C428" s="37" t="str">
        <f>VLOOKUP(B428,'Composição dos serv'!A:I,3,FALSE)</f>
        <v>Retirada de Laje em concreto</v>
      </c>
      <c r="D428" s="26" t="str">
        <f>VLOOKUP(B428,'Composição dos serv'!A:I,4,FALSE)</f>
        <v>m²</v>
      </c>
      <c r="E428" s="37"/>
      <c r="F428" s="37">
        <f>ROUNDUP(E428*0.12,2)</f>
        <v>0</v>
      </c>
      <c r="G428" s="38">
        <f>SUMIF('Composição dos serv'!A:A,'PESM Itutinga Piloes pt1'!B428,'Composição dos serv'!I:I)</f>
        <v>0</v>
      </c>
      <c r="H428" s="38">
        <f t="shared" si="115"/>
        <v>0</v>
      </c>
      <c r="I428" s="24"/>
      <c r="J428" s="24"/>
      <c r="K428" s="39">
        <f>SUMIF('Composição dos serv'!A:A,B428,'Composição dos serv'!K:K)</f>
        <v>0.09</v>
      </c>
      <c r="L428" s="40">
        <f t="shared" si="112"/>
        <v>0</v>
      </c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spans="1:23" ht="25.5" customHeight="1">
      <c r="A429" s="26" t="str">
        <f t="shared" si="114"/>
        <v>D10.3</v>
      </c>
      <c r="B429" s="26" t="s">
        <v>129</v>
      </c>
      <c r="C429" s="37" t="str">
        <f>VLOOKUP(B429,'Composição dos serv'!A:I,3,FALSE)</f>
        <v>Retirada de Forros qualquer com sistema de fixação</v>
      </c>
      <c r="D429" s="26" t="str">
        <f>VLOOKUP(B429,'Composição dos serv'!A:I,4,FALSE)</f>
        <v>m²</v>
      </c>
      <c r="E429" s="37">
        <v>228</v>
      </c>
      <c r="F429" s="37">
        <f>ROUNDUP(E429*0.1,2)</f>
        <v>22.8</v>
      </c>
      <c r="G429" s="38">
        <f>SUMIF('Composição dos serv'!A:A,'PESM Itutinga Piloes pt1'!B429,'Composição dos serv'!I:I)</f>
        <v>0</v>
      </c>
      <c r="H429" s="38">
        <f t="shared" si="115"/>
        <v>0</v>
      </c>
      <c r="I429" s="24"/>
      <c r="J429" s="24"/>
      <c r="K429" s="39">
        <f>SUMIF('Composição dos serv'!A:A,B429,'Composição dos serv'!K:K)</f>
        <v>0.04</v>
      </c>
      <c r="L429" s="40">
        <f t="shared" si="112"/>
        <v>10</v>
      </c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spans="1:23" ht="25.5" customHeight="1">
      <c r="A430" s="33" t="str">
        <f>CONCATENATE(A415,".4")</f>
        <v>D10.4</v>
      </c>
      <c r="B430" s="33" t="s">
        <v>133</v>
      </c>
      <c r="C430" s="34" t="str">
        <f>VLOOKUP(B430,'Composição dos serv'!A:I,3,FALSE)</f>
        <v>PAREDES</v>
      </c>
      <c r="D430" s="35"/>
      <c r="E430" s="35"/>
      <c r="F430" s="35"/>
      <c r="G430" s="35"/>
      <c r="H430" s="36"/>
      <c r="I430" s="24"/>
      <c r="J430" s="24"/>
      <c r="K430" s="39">
        <f>SUMIF('Composição dos serv'!A:A,B430,'Composição dos serv'!K:K)</f>
        <v>0</v>
      </c>
      <c r="L430" s="40">
        <f t="shared" si="112"/>
        <v>0</v>
      </c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spans="1:23" ht="25.5" customHeight="1">
      <c r="A431" s="26" t="str">
        <f>A430</f>
        <v>D10.4</v>
      </c>
      <c r="B431" s="26" t="s">
        <v>135</v>
      </c>
      <c r="C431" s="37" t="str">
        <f>VLOOKUP(B431,'Composição dos serv'!A:I,3,FALSE)</f>
        <v>Parede em Alvenaria - usar área construida</v>
      </c>
      <c r="D431" s="26" t="str">
        <f>VLOOKUP(B431,'Composição dos serv'!A:I,4,FALSE)</f>
        <v>m²</v>
      </c>
      <c r="E431" s="49">
        <v>380</v>
      </c>
      <c r="F431" s="37">
        <f>ROUNDUP(E431*0.8,2)</f>
        <v>304</v>
      </c>
      <c r="G431" s="38">
        <f>SUMIF('Composição dos serv'!A:A,B431,'Composição dos serv'!I:I)</f>
        <v>0</v>
      </c>
      <c r="H431" s="38">
        <f t="shared" ref="H431:H433" si="116">E431*G431</f>
        <v>0</v>
      </c>
      <c r="I431" s="24"/>
      <c r="J431" s="24"/>
      <c r="K431" s="39">
        <f>SUMIF('Composição dos serv'!A:A,B431,'Composição dos serv'!K:K)</f>
        <v>0.15000000000000002</v>
      </c>
      <c r="L431" s="40">
        <f t="shared" si="112"/>
        <v>57</v>
      </c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25.5" hidden="1" customHeight="1">
      <c r="A432" s="26" t="str">
        <f>A430</f>
        <v>D10.4</v>
      </c>
      <c r="B432" s="26" t="s">
        <v>143</v>
      </c>
      <c r="C432" s="37" t="str">
        <f>VLOOKUP(B432,'Composição dos serv'!A:I,3,FALSE)</f>
        <v>Parede em Madeirite - Chapas de madeira compensada ou aglomerada - área construída</v>
      </c>
      <c r="D432" s="26" t="str">
        <f>VLOOKUP(B432,'Composição dos serv'!A:I,4,FALSE)</f>
        <v>m²</v>
      </c>
      <c r="E432" s="37"/>
      <c r="F432" s="37">
        <f>ROUNDUP(E432*0.21,2)</f>
        <v>0</v>
      </c>
      <c r="G432" s="38">
        <f>SUMIF('Composição dos serv'!A:A,B432,'Composição dos serv'!I:I)</f>
        <v>0</v>
      </c>
      <c r="H432" s="38">
        <f t="shared" si="116"/>
        <v>0</v>
      </c>
      <c r="I432" s="24"/>
      <c r="J432" s="24"/>
      <c r="K432" s="39">
        <f>SUMIF('Composição dos serv'!A:A,B432,'Composição dos serv'!K:K)</f>
        <v>0.15000000000000002</v>
      </c>
      <c r="L432" s="40">
        <f t="shared" si="112"/>
        <v>0</v>
      </c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spans="1:23" ht="25.5" hidden="1" customHeight="1">
      <c r="A433" s="26" t="str">
        <f>A430</f>
        <v>D10.4</v>
      </c>
      <c r="B433" s="26" t="s">
        <v>145</v>
      </c>
      <c r="C433" s="37" t="str">
        <f>VLOOKUP(B433,'Composição dos serv'!A:I,3,FALSE)</f>
        <v>Parede em Lambril de madeira - área construída</v>
      </c>
      <c r="D433" s="26" t="str">
        <f>VLOOKUP(B433,'Composição dos serv'!A:I,4,FALSE)</f>
        <v>m²</v>
      </c>
      <c r="E433" s="37"/>
      <c r="F433" s="37">
        <f>ROUNDUP(E433*4*0.12,2)</f>
        <v>0</v>
      </c>
      <c r="G433" s="38">
        <f>SUMIF('Composição dos serv'!A:A,B433,'Composição dos serv'!I:I)</f>
        <v>0</v>
      </c>
      <c r="H433" s="38">
        <f t="shared" si="116"/>
        <v>0</v>
      </c>
      <c r="I433" s="24"/>
      <c r="J433" s="24"/>
      <c r="K433" s="39">
        <f>SUMIF('Composição dos serv'!A:A,B433,'Composição dos serv'!K:K)</f>
        <v>0.35000000000000009</v>
      </c>
      <c r="L433" s="40">
        <f t="shared" si="112"/>
        <v>0</v>
      </c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spans="1:23" ht="25.5" customHeight="1">
      <c r="A434" s="33" t="str">
        <f>CONCATENATE(A415,".5")</f>
        <v>D10.5</v>
      </c>
      <c r="B434" s="33" t="s">
        <v>153</v>
      </c>
      <c r="C434" s="34" t="str">
        <f>VLOOKUP(B434,'Composição dos serv'!A:I,3,FALSE)</f>
        <v>PISO E FUNDAÇÃO</v>
      </c>
      <c r="D434" s="35"/>
      <c r="E434" s="35"/>
      <c r="F434" s="35"/>
      <c r="G434" s="35"/>
      <c r="H434" s="36"/>
      <c r="I434" s="24"/>
      <c r="J434" s="24"/>
      <c r="K434" s="39">
        <f>SUMIF('Composição dos serv'!A:A,B434,'Composição dos serv'!K:K)</f>
        <v>0</v>
      </c>
      <c r="L434" s="40">
        <f t="shared" si="112"/>
        <v>0</v>
      </c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spans="1:23" ht="25.5" hidden="1" customHeight="1">
      <c r="A435" s="26" t="str">
        <f>A434</f>
        <v>D10.5</v>
      </c>
      <c r="B435" s="26" t="s">
        <v>155</v>
      </c>
      <c r="C435" s="37" t="str">
        <f>VLOOKUP(B435,'Composição dos serv'!A:I,3,FALSE)</f>
        <v>Piso da edificação com fundação</v>
      </c>
      <c r="D435" s="26" t="str">
        <f>VLOOKUP(B435,'Composição dos serv'!A:I,4,FALSE)</f>
        <v>m²</v>
      </c>
      <c r="E435" s="37"/>
      <c r="F435" s="37">
        <f>ROUNDUP(E435*0.24,2)</f>
        <v>0</v>
      </c>
      <c r="G435" s="38">
        <f>SUMIF('Composição dos serv'!A:A,B435,'Composição dos serv'!I:I)</f>
        <v>0</v>
      </c>
      <c r="H435" s="38">
        <f>E435*G435</f>
        <v>0</v>
      </c>
      <c r="I435" s="24"/>
      <c r="J435" s="24"/>
      <c r="K435" s="39">
        <f>SUMIF('Composição dos serv'!A:A,B435,'Composição dos serv'!K:K)</f>
        <v>0.17</v>
      </c>
      <c r="L435" s="40">
        <f t="shared" si="112"/>
        <v>0</v>
      </c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spans="1:23" ht="25.5" customHeight="1">
      <c r="A436" s="33" t="str">
        <f>CONCATENATE(A415,".6")</f>
        <v>D10.6</v>
      </c>
      <c r="B436" s="33" t="s">
        <v>161</v>
      </c>
      <c r="C436" s="48" t="str">
        <f>VLOOKUP(B436,'Composição dos serv'!A:I,3,FALSE)</f>
        <v>ESTRUTURAS DIVERSAS</v>
      </c>
      <c r="D436" s="48"/>
      <c r="E436" s="48"/>
      <c r="F436" s="48"/>
      <c r="G436" s="48"/>
      <c r="H436" s="48"/>
      <c r="I436" s="24"/>
      <c r="J436" s="24"/>
      <c r="K436" s="39">
        <f>SUMIF('Composição dos serv'!A:A,B436,'Composição dos serv'!K:K)</f>
        <v>0</v>
      </c>
      <c r="L436" s="40">
        <f t="shared" si="112"/>
        <v>0</v>
      </c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spans="1:23" ht="25.5" hidden="1" customHeight="1">
      <c r="A437" s="26" t="str">
        <f>A436</f>
        <v>D10.6</v>
      </c>
      <c r="B437" s="26" t="s">
        <v>163</v>
      </c>
      <c r="C437" s="37" t="str">
        <f>VLOOKUP(B437,'Composição dos serv'!A:I,3,FALSE)</f>
        <v>Escada em concreto com corrimão</v>
      </c>
      <c r="D437" s="26" t="str">
        <f>VLOOKUP(B437,'Composição dos serv'!A:I,4,FALSE)</f>
        <v>m</v>
      </c>
      <c r="E437" s="49"/>
      <c r="F437" s="37">
        <f>ROUNDUP(E437*1.2*0.25,2)</f>
        <v>0</v>
      </c>
      <c r="G437" s="38">
        <f>SUMIF('Composição dos serv'!A:A,'PESM Itutinga Piloes pt1'!B437,'Composição dos serv'!I:I)</f>
        <v>0</v>
      </c>
      <c r="H437" s="38">
        <f t="shared" ref="H437:H440" si="117">E437*G437</f>
        <v>0</v>
      </c>
      <c r="I437" s="24"/>
      <c r="J437" s="24"/>
      <c r="K437" s="39">
        <f>SUMIF('Composição dos serv'!A:A,B437,'Composição dos serv'!K:K)</f>
        <v>0.39</v>
      </c>
      <c r="L437" s="40">
        <f t="shared" si="112"/>
        <v>0</v>
      </c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spans="1:23" ht="25.5" customHeight="1">
      <c r="A438" s="26" t="str">
        <f>A436</f>
        <v>D10.6</v>
      </c>
      <c r="B438" s="26" t="s">
        <v>169</v>
      </c>
      <c r="C438" s="37" t="str">
        <f>VLOOKUP(B438,'Composição dos serv'!A:I,3,FALSE)</f>
        <v>Entrada de Energia - medidor</v>
      </c>
      <c r="D438" s="26" t="str">
        <f>VLOOKUP(B438,'Composição dos serv'!A:I,4,FALSE)</f>
        <v>un</v>
      </c>
      <c r="E438" s="37">
        <v>1</v>
      </c>
      <c r="F438" s="37">
        <f>ROUNDUP(E438*(3.2+(((3.1415*0.4^2)/4)*6)),2)</f>
        <v>3.96</v>
      </c>
      <c r="G438" s="38">
        <f>SUMIF('Composição dos serv'!A:A,'PESM Itutinga Piloes pt1'!B438,'Composição dos serv'!I:I)</f>
        <v>0</v>
      </c>
      <c r="H438" s="38">
        <f t="shared" si="117"/>
        <v>0</v>
      </c>
      <c r="I438" s="24"/>
      <c r="J438" s="24"/>
      <c r="K438" s="39">
        <f>SUMIF('Composição dos serv'!A:A,B438,'Composição dos serv'!K:K)</f>
        <v>1.7600000000000002</v>
      </c>
      <c r="L438" s="40">
        <f t="shared" si="112"/>
        <v>2</v>
      </c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spans="1:23" ht="25.5" customHeight="1">
      <c r="A439" s="26" t="str">
        <f>A436</f>
        <v>D10.6</v>
      </c>
      <c r="B439" s="26" t="s">
        <v>183</v>
      </c>
      <c r="C439" s="37" t="str">
        <f>VLOOKUP(B439,'Composição dos serv'!A:I,3,FALSE)</f>
        <v>Hidrômetro com abrigo</v>
      </c>
      <c r="D439" s="26" t="str">
        <f>VLOOKUP(B439,'Composição dos serv'!A:I,4,FALSE)</f>
        <v>un</v>
      </c>
      <c r="E439" s="37">
        <v>1</v>
      </c>
      <c r="F439" s="37">
        <f>ROUNDUP(E439*(1.7+0.1),2)</f>
        <v>1.8</v>
      </c>
      <c r="G439" s="38">
        <f>SUMIF('Composição dos serv'!A:A,'PESM Itutinga Piloes pt1'!B439,'Composição dos serv'!I:I)</f>
        <v>0</v>
      </c>
      <c r="H439" s="38">
        <f t="shared" si="117"/>
        <v>0</v>
      </c>
      <c r="I439" s="24"/>
      <c r="J439" s="24"/>
      <c r="K439" s="39">
        <f>SUMIF('Composição dos serv'!A:A,B439,'Composição dos serv'!K:K)</f>
        <v>0.44000000000000006</v>
      </c>
      <c r="L439" s="40">
        <f t="shared" si="112"/>
        <v>1</v>
      </c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spans="1:23" ht="25.5" customHeight="1">
      <c r="A440" s="26" t="str">
        <f>A438</f>
        <v>D10.6</v>
      </c>
      <c r="B440" s="26" t="s">
        <v>191</v>
      </c>
      <c r="C440" s="37" t="str">
        <f>VLOOKUP(B440,'Composição dos serv'!A:I,3,FALSE)</f>
        <v>Aterro de Fossa com retirada de tampa</v>
      </c>
      <c r="D440" s="26" t="str">
        <f>VLOOKUP(B440,'Composição dos serv'!A:I,4,FALSE)</f>
        <v>un</v>
      </c>
      <c r="E440" s="37">
        <v>2</v>
      </c>
      <c r="F440" s="37">
        <f>ROUNDUP(E440*(0.4),2)</f>
        <v>0.8</v>
      </c>
      <c r="G440" s="38">
        <f>SUMIF('Composição dos serv'!A:A,'PESM Itutinga Piloes pt1'!B440,'Composição dos serv'!I:I)</f>
        <v>0</v>
      </c>
      <c r="H440" s="38">
        <f t="shared" si="117"/>
        <v>0</v>
      </c>
      <c r="I440" s="24"/>
      <c r="J440" s="24"/>
      <c r="K440" s="39">
        <f>SUMIF('Composição dos serv'!A:A,B440,'Composição dos serv'!K:K)</f>
        <v>0.85000000000000009</v>
      </c>
      <c r="L440" s="40">
        <f t="shared" si="112"/>
        <v>2</v>
      </c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spans="1:23" ht="25.5" customHeight="1">
      <c r="A441" s="33" t="str">
        <f>CONCATENATE(A415,".7")</f>
        <v>D10.7</v>
      </c>
      <c r="B441" s="33" t="s">
        <v>195</v>
      </c>
      <c r="C441" s="48" t="str">
        <f>VLOOKUP(B441,'Composição dos serv'!A:I,3,FALSE)</f>
        <v>ACABAMENTOS DIVERSOS e OUTROS</v>
      </c>
      <c r="D441" s="48"/>
      <c r="E441" s="48"/>
      <c r="F441" s="48"/>
      <c r="G441" s="48"/>
      <c r="H441" s="48"/>
      <c r="I441" s="24"/>
      <c r="J441" s="24"/>
      <c r="K441" s="39">
        <f>SUMIF('Composição dos serv'!A:A,B441,'Composição dos serv'!K:K)</f>
        <v>0</v>
      </c>
      <c r="L441" s="40">
        <f t="shared" si="112"/>
        <v>0</v>
      </c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:23" ht="25.5" customHeight="1">
      <c r="A442" s="26" t="str">
        <f>A441</f>
        <v>D10.7</v>
      </c>
      <c r="B442" s="50" t="s">
        <v>197</v>
      </c>
      <c r="C442" s="49" t="str">
        <f>VLOOKUP(B442,'Composição dos serv'!A:I,3,FALSE)</f>
        <v>Remoção de aparelhos sanitarios - por banheiro</v>
      </c>
      <c r="D442" s="50" t="str">
        <f>VLOOKUP(B442,'Composição dos serv'!A:I,4,FALSE)</f>
        <v>unid</v>
      </c>
      <c r="E442" s="49">
        <v>2</v>
      </c>
      <c r="F442" s="37">
        <f t="shared" ref="F442:F444" si="118">ROUNDUP(E442*1,2)</f>
        <v>2</v>
      </c>
      <c r="G442" s="51">
        <f>SUMIF('Composição dos serv'!A:A,B442,'Composição dos serv'!I:I)</f>
        <v>0</v>
      </c>
      <c r="H442" s="51">
        <f t="shared" ref="H442:H448" si="119">E442*G442</f>
        <v>0</v>
      </c>
      <c r="I442" s="24"/>
      <c r="J442" s="24"/>
      <c r="K442" s="39">
        <f>SUMIF('Composição dos serv'!A:A,B442,'Composição dos serv'!K:K)</f>
        <v>0.19</v>
      </c>
      <c r="L442" s="40">
        <f t="shared" si="112"/>
        <v>1</v>
      </c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spans="1:23" ht="25.5" customHeight="1">
      <c r="A443" s="26" t="str">
        <f>A441</f>
        <v>D10.7</v>
      </c>
      <c r="B443" s="50" t="s">
        <v>209</v>
      </c>
      <c r="C443" s="37" t="str">
        <f>VLOOKUP(B443,'Composição dos serv'!A:I,3,FALSE)</f>
        <v>Remoção de aparelhos sanitarios - Cozinha e Área de Serviço</v>
      </c>
      <c r="D443" s="26" t="str">
        <f>VLOOKUP(B443,'Composição dos serv'!A:I,4,FALSE)</f>
        <v>unid</v>
      </c>
      <c r="E443" s="37">
        <v>2</v>
      </c>
      <c r="F443" s="37">
        <f t="shared" si="118"/>
        <v>2</v>
      </c>
      <c r="G443" s="51">
        <f>SUMIF('Composição dos serv'!A:A,B443,'Composição dos serv'!I:I)</f>
        <v>0</v>
      </c>
      <c r="H443" s="38">
        <f t="shared" si="119"/>
        <v>0</v>
      </c>
      <c r="I443" s="24"/>
      <c r="J443" s="24"/>
      <c r="K443" s="39">
        <f>SUMIF('Composição dos serv'!A:A,B443,'Composição dos serv'!K:K)</f>
        <v>0.21</v>
      </c>
      <c r="L443" s="40">
        <f t="shared" si="112"/>
        <v>1</v>
      </c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spans="1:23" ht="25.5" customHeight="1">
      <c r="A444" s="26" t="str">
        <f>A441</f>
        <v>D10.7</v>
      </c>
      <c r="B444" s="50" t="s">
        <v>215</v>
      </c>
      <c r="C444" s="37" t="str">
        <f>VLOOKUP(B444,'Composição dos serv'!A:I,3,FALSE)</f>
        <v>Remoção de caixa d'agua</v>
      </c>
      <c r="D444" s="26" t="str">
        <f>VLOOKUP(B444,'Composição dos serv'!A:I,4,FALSE)</f>
        <v>unid</v>
      </c>
      <c r="E444" s="37">
        <v>1</v>
      </c>
      <c r="F444" s="37">
        <f t="shared" si="118"/>
        <v>1</v>
      </c>
      <c r="G444" s="51">
        <f>SUMIF('Composição dos serv'!A:A,B444,'Composição dos serv'!I:I)</f>
        <v>0</v>
      </c>
      <c r="H444" s="38">
        <f t="shared" si="119"/>
        <v>0</v>
      </c>
      <c r="I444" s="24"/>
      <c r="J444" s="24"/>
      <c r="K444" s="39">
        <f>SUMIF('Composição dos serv'!A:A,B444,'Composição dos serv'!K:K)</f>
        <v>0.42000000000000004</v>
      </c>
      <c r="L444" s="40">
        <f t="shared" si="112"/>
        <v>1</v>
      </c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spans="1:23" ht="25.5" customHeight="1">
      <c r="A445" s="26" t="str">
        <f>A441</f>
        <v>D10.7</v>
      </c>
      <c r="B445" s="50" t="s">
        <v>219</v>
      </c>
      <c r="C445" s="37" t="str">
        <f>VLOOKUP(B445,'Composição dos serv'!A:I,3,FALSE)</f>
        <v>Remoção do Sistema de Para raios - área do telhado</v>
      </c>
      <c r="D445" s="26" t="str">
        <f>VLOOKUP(B445,'Composição dos serv'!A:I,4,FALSE)</f>
        <v>m²</v>
      </c>
      <c r="E445" s="37">
        <v>1</v>
      </c>
      <c r="F445" s="37">
        <f>ROUNDUP(E445/60,2)</f>
        <v>0.02</v>
      </c>
      <c r="G445" s="51">
        <f>SUMIF('Composição dos serv'!A:A,B445,'Composição dos serv'!I:I)</f>
        <v>0</v>
      </c>
      <c r="H445" s="38">
        <f t="shared" si="119"/>
        <v>0</v>
      </c>
      <c r="I445" s="24"/>
      <c r="J445" s="24"/>
      <c r="K445" s="39">
        <f>SUMIF('Composição dos serv'!A:A,B445,'Composição dos serv'!K:K)</f>
        <v>0.05</v>
      </c>
      <c r="L445" s="40">
        <f t="shared" si="112"/>
        <v>1</v>
      </c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spans="1:23" ht="25.5" customHeight="1">
      <c r="A446" s="26" t="str">
        <f>A441</f>
        <v>D10.7</v>
      </c>
      <c r="B446" s="50" t="s">
        <v>227</v>
      </c>
      <c r="C446" s="37" t="str">
        <f>VLOOKUP(B446,'Composição dos serv'!A:I,3,FALSE)</f>
        <v>Janelas</v>
      </c>
      <c r="D446" s="26" t="str">
        <f>VLOOKUP(B446,'Composição dos serv'!A:I,4,FALSE)</f>
        <v>un</v>
      </c>
      <c r="E446" s="37">
        <v>8</v>
      </c>
      <c r="F446" s="37">
        <f>ROUNDUP(E446*1.5*1.2*0.2,2)</f>
        <v>2.88</v>
      </c>
      <c r="G446" s="51">
        <f>SUMIF('Composição dos serv'!A:A,B446,'Composição dos serv'!I:I)</f>
        <v>0</v>
      </c>
      <c r="H446" s="38">
        <f t="shared" si="119"/>
        <v>0</v>
      </c>
      <c r="I446" s="24"/>
      <c r="J446" s="24"/>
      <c r="K446" s="39">
        <f>SUMIF('Composição dos serv'!A:A,B446,'Composição dos serv'!K:K)</f>
        <v>0</v>
      </c>
      <c r="L446" s="40">
        <f t="shared" si="112"/>
        <v>0</v>
      </c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spans="1:23" ht="25.5" customHeight="1">
      <c r="A447" s="26" t="str">
        <f>A441</f>
        <v>D10.7</v>
      </c>
      <c r="B447" s="50" t="s">
        <v>234</v>
      </c>
      <c r="C447" s="37" t="str">
        <f>VLOOKUP(B447,'Composição dos serv'!A:I,3,FALSE)</f>
        <v>Portas</v>
      </c>
      <c r="D447" s="26" t="str">
        <f>VLOOKUP(B447,'Composição dos serv'!A:I,4,FALSE)</f>
        <v>un</v>
      </c>
      <c r="E447" s="37">
        <v>3</v>
      </c>
      <c r="F447" s="37">
        <f>ROUNDUP(E447*2.1*0.9*0.2,2)</f>
        <v>1.1399999999999999</v>
      </c>
      <c r="G447" s="51">
        <f>SUMIF('Composição dos serv'!A:A,B447,'Composição dos serv'!I:I)</f>
        <v>0</v>
      </c>
      <c r="H447" s="38">
        <f t="shared" si="119"/>
        <v>0</v>
      </c>
      <c r="I447" s="24"/>
      <c r="J447" s="24"/>
      <c r="K447" s="39">
        <f>SUMIF('Composição dos serv'!A:A,B447,'Composição dos serv'!K:K)</f>
        <v>0</v>
      </c>
      <c r="L447" s="40">
        <f t="shared" si="112"/>
        <v>0</v>
      </c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spans="1:23" ht="25.5" hidden="1" customHeight="1">
      <c r="A448" s="26" t="str">
        <f>A441</f>
        <v>D10.7</v>
      </c>
      <c r="B448" s="50" t="s">
        <v>236</v>
      </c>
      <c r="C448" s="37" t="str">
        <f>VLOOKUP(B448,'Composição dos serv'!A:I,3,FALSE)</f>
        <v>Guarda corpo de metal</v>
      </c>
      <c r="D448" s="26" t="str">
        <f>VLOOKUP(B448,'Composição dos serv'!A:I,4,FALSE)</f>
        <v>m</v>
      </c>
      <c r="E448" s="37"/>
      <c r="F448" s="37">
        <f>ROUNDUP(E448*1.7*0.05,2)</f>
        <v>0</v>
      </c>
      <c r="G448" s="51">
        <f>SUMIF('Composição dos serv'!A:A,B448,'Composição dos serv'!I:I)</f>
        <v>0</v>
      </c>
      <c r="H448" s="38">
        <f t="shared" si="119"/>
        <v>0</v>
      </c>
      <c r="I448" s="24"/>
      <c r="J448" s="24"/>
      <c r="K448" s="39">
        <f>SUMIF('Composição dos serv'!A:A,B448,'Composição dos serv'!K:K)</f>
        <v>0</v>
      </c>
      <c r="L448" s="40">
        <f t="shared" si="112"/>
        <v>0</v>
      </c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spans="1:23" ht="25.5" customHeight="1">
      <c r="A449" s="33" t="str">
        <f>CONCATENATE(A415,".8")</f>
        <v>D10.8</v>
      </c>
      <c r="B449" s="33" t="s">
        <v>240</v>
      </c>
      <c r="C449" s="48" t="str">
        <f>VLOOKUP(B449,'Composição dos serv'!A:I,3,FALSE)</f>
        <v>ENTULHO</v>
      </c>
      <c r="D449" s="48"/>
      <c r="E449" s="48"/>
      <c r="F449" s="48"/>
      <c r="G449" s="48"/>
      <c r="H449" s="48"/>
      <c r="I449" s="24"/>
      <c r="J449" s="24"/>
      <c r="K449" s="39">
        <f>SUMIF('Composição dos serv'!A:A,B449,'Composição dos serv'!K:K)</f>
        <v>0</v>
      </c>
      <c r="L449" s="40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spans="1:23" ht="25.5" hidden="1" customHeight="1">
      <c r="A450" s="26" t="str">
        <f>A449</f>
        <v>D10.8</v>
      </c>
      <c r="B450" s="50" t="s">
        <v>242</v>
      </c>
      <c r="C450" s="49" t="str">
        <f>VLOOKUP(B450,'Composição dos serv'!A:I,3,FALSE)</f>
        <v>Transporte e espalhamento Manual do entulho a ser reutilizado</v>
      </c>
      <c r="D450" s="50" t="s">
        <v>291</v>
      </c>
      <c r="E450" s="49"/>
      <c r="F450" s="52">
        <f>IF(E450=1,ROUNDUP((IF(E418&lt;&gt;"",F418,0)+IF(E419&lt;&gt;"",F419,0)+IF(E421&lt;&gt;"",F421,0)+IF(E422&lt;&gt;"",F422*0.34,0)+IF(E425&lt;&gt;"",F425*0.43,0)+IF(E428&lt;&gt;"",F428*0.8,0)+IF(E431&lt;&gt;"",F431*(0.78),0)+IF(E435&lt;&gt;"",F435*0.98,0)+IF(E437&lt;&gt;"",F437*0.91,0)+IF(E438&lt;&gt;"",F438*0.26,0)+IF(E439&lt;&gt;"",F439*0.24,0)+IF(E440&lt;&gt;"",F440,0)),2),0)</f>
        <v>0</v>
      </c>
      <c r="G450" s="51">
        <f>SUMIF('Composição dos serv'!A:A,B450,'Composição dos serv'!I:I)</f>
        <v>0</v>
      </c>
      <c r="H450" s="51">
        <f t="shared" ref="H450:H451" si="120">F450*G450</f>
        <v>0</v>
      </c>
      <c r="I450" s="24"/>
      <c r="J450" s="24"/>
      <c r="K450" s="39">
        <f>SUMIF('Composição dos serv'!A:A,B450,'Composição dos serv'!K:K)</f>
        <v>0.15000000000000002</v>
      </c>
      <c r="L450" s="40">
        <f t="shared" ref="L450:L453" si="121">ROUNDUP(K450*F450,0)</f>
        <v>0</v>
      </c>
      <c r="M450" s="45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spans="1:23" ht="25.5" hidden="1" customHeight="1">
      <c r="A451" s="26" t="str">
        <f>A449</f>
        <v>D10.8</v>
      </c>
      <c r="B451" s="50" t="s">
        <v>246</v>
      </c>
      <c r="C451" s="49" t="str">
        <f>VLOOKUP(B451,'Composição dos serv'!A:I,3,FALSE)</f>
        <v>Remoção e Transporte Mecanizado do entulho a ser reutilizado</v>
      </c>
      <c r="D451" s="50" t="s">
        <v>291</v>
      </c>
      <c r="E451" s="49"/>
      <c r="F451" s="52">
        <f>IF(E451=1,SUM(F418:F448)-H455,0)</f>
        <v>0</v>
      </c>
      <c r="G451" s="51">
        <f>SUMIF('Composição dos serv'!A:A,B451,'Composição dos serv'!I:I)</f>
        <v>0</v>
      </c>
      <c r="H451" s="51">
        <f t="shared" si="120"/>
        <v>0</v>
      </c>
      <c r="I451" s="24"/>
      <c r="J451" s="24"/>
      <c r="K451" s="39">
        <f>SUMIF('Composição dos serv'!A:A,B451,'Composição dos serv'!K:K)</f>
        <v>0.02</v>
      </c>
      <c r="L451" s="40">
        <f t="shared" si="121"/>
        <v>0</v>
      </c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spans="1:23" ht="25.5" customHeight="1">
      <c r="A452" s="26" t="str">
        <f>A449</f>
        <v>D10.8</v>
      </c>
      <c r="B452" s="50" t="s">
        <v>252</v>
      </c>
      <c r="C452" s="49" t="str">
        <f>VLOOKUP(B452,'Composição dos serv'!A:I,3,FALSE)</f>
        <v>Remoção do entulho com caçamba</v>
      </c>
      <c r="D452" s="50" t="s">
        <v>291</v>
      </c>
      <c r="E452" s="49">
        <v>1</v>
      </c>
      <c r="F452" s="52">
        <f>IF(E452=1,SUM(F418:F448),0)</f>
        <v>553.09999999999991</v>
      </c>
      <c r="G452" s="51">
        <f>SUMIF('Composição dos serv'!A:A,B452,'Composição dos serv'!I:I)</f>
        <v>0</v>
      </c>
      <c r="H452" s="51">
        <f>IF(E452&gt;1,"OPÇÃO ERRADA",F452*G452)+IF(G455=1,H455*G452,0)</f>
        <v>0</v>
      </c>
      <c r="I452" s="24"/>
      <c r="J452" s="24"/>
      <c r="K452" s="39">
        <f>SUMIF('Composição dos serv'!A:A,B452,'Composição dos serv'!K:K)</f>
        <v>0.02</v>
      </c>
      <c r="L452" s="40">
        <f t="shared" si="121"/>
        <v>12</v>
      </c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spans="1:23" ht="25.5" hidden="1" customHeight="1">
      <c r="A453" s="26" t="str">
        <f>A449</f>
        <v>D10.8</v>
      </c>
      <c r="B453" s="50" t="s">
        <v>256</v>
      </c>
      <c r="C453" s="49" t="str">
        <f>VLOOKUP(B453,'Composição dos serv'!A:I,3,FALSE)</f>
        <v>Remoção e Transporte Mecanizado do entulho para bota fora</v>
      </c>
      <c r="D453" s="50" t="s">
        <v>291</v>
      </c>
      <c r="E453" s="49"/>
      <c r="F453" s="52">
        <f>IF(E453=1,SUM(F418:F448),0)</f>
        <v>0</v>
      </c>
      <c r="G453" s="51">
        <f>SUMIF('Composição dos serv'!A:A,B453,'Composição dos serv'!I:I)</f>
        <v>0</v>
      </c>
      <c r="H453" s="51">
        <f>IF(E453&gt;1,"OPÇÃO ERRADA",F453*G453)+IF(G455=2,H455*G453,0)</f>
        <v>0</v>
      </c>
      <c r="I453" s="24"/>
      <c r="J453" s="24"/>
      <c r="K453" s="39">
        <f>SUMIF('Composição dos serv'!A:A,B453,'Composição dos serv'!K:K)</f>
        <v>7.9999999999999988E-2</v>
      </c>
      <c r="L453" s="40">
        <f t="shared" si="121"/>
        <v>0</v>
      </c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spans="1:23" ht="25.5" hidden="1" customHeight="1">
      <c r="A454" s="26" t="str">
        <f>A449</f>
        <v>D10.8</v>
      </c>
      <c r="B454" s="50" t="s">
        <v>264</v>
      </c>
      <c r="C454" s="49" t="str">
        <f>VLOOKUP(B454,'Composição dos serv'!A:I,3,FALSE)</f>
        <v>Remoção de telhas em cimento amianto</v>
      </c>
      <c r="D454" s="26" t="str">
        <f>VLOOKUP(B454,'Composição dos serv'!A:I,4,FALSE)</f>
        <v>m²</v>
      </c>
      <c r="E454" s="49">
        <f>SUM(E426:E427)</f>
        <v>0</v>
      </c>
      <c r="F454" s="52"/>
      <c r="G454" s="51">
        <f>SUMIF('Composição dos serv'!A:A,B454,'Composição dos serv'!I:I)</f>
        <v>0</v>
      </c>
      <c r="H454" s="51">
        <f>G454*E454</f>
        <v>0</v>
      </c>
      <c r="I454" s="24"/>
      <c r="J454" s="24"/>
      <c r="K454" s="39"/>
      <c r="L454" s="40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spans="1:23" ht="25.5" customHeight="1">
      <c r="A455" s="53"/>
      <c r="B455" s="53"/>
      <c r="C455" s="37" t="str">
        <f>IF(E452&lt;&gt;1,IF(E453&lt;&gt;1,IF(H455&lt;&gt;0,"Há Material não reutilizavel qual a destinação para ele?",""),""),"")</f>
        <v/>
      </c>
      <c r="D455" s="168" t="str">
        <f>IF(E452&lt;&gt;1,IF(E453&lt;&gt;1,IF(H455&lt;&gt;0,"Caçamba = 1; Aterro = 2",""),""),"")</f>
        <v/>
      </c>
      <c r="E455" s="169"/>
      <c r="F455" s="170"/>
      <c r="G455" s="37"/>
      <c r="H455" s="54">
        <f>IF(E452=1,0,IF(E453=1,0,ROUNDUP((IF(E422&lt;&gt;"",F422*0.66,0)+IF(E425&lt;&gt;"",F425*0.57,0)+IF(E427&lt;&gt;"",F427,0)+IF(E428&lt;&gt;"",F428*0.2,0)+IF(E429&lt;&gt;"",F429,0)+IF(E431&lt;&gt;"",F431*0.22,0)+IF(E432&lt;&gt;"",F432,0)+IF(E433&lt;&gt;"",F433,0)+IF(E435&lt;&gt;"",F435*0.02,0)+IF(E437&lt;&gt;"",F437*0.09,0)+IF(E438&lt;&gt;"",F438*0.74,0)+IF(E439&lt;&gt;"",F439*(1-0.24),0)+IF(E442&lt;&gt;"",F442,0)+IF(E443&lt;&gt;"",F443,0)+IF(E444&lt;&gt;"",F444,0)+IF(E445&lt;&gt;"",F445,0)+IF(E446&lt;&gt;"",F446,0)+IF(E447&lt;&gt;"",F447,0)+IF(E448&lt;&gt;"",F448,0)+IF(E426&lt;&gt;"",F426,0)+IF(E424&lt;&gt;"",F424,0)),2)))</f>
        <v>0</v>
      </c>
      <c r="I455" s="24"/>
      <c r="J455" s="24"/>
      <c r="K455" s="39"/>
      <c r="L455" s="40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spans="1:23" ht="25.5" hidden="1" customHeight="1">
      <c r="I456" s="24"/>
      <c r="J456" s="24"/>
      <c r="K456" s="39">
        <f>SUMIF('Composição dos serv'!A:A,'PESM Itutinga Piloes pt1'!B456,'Composição dos serv'!K:K)</f>
        <v>0</v>
      </c>
      <c r="L456" s="40">
        <f>ROUNDUP(K456*E456,0)</f>
        <v>0</v>
      </c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spans="1:23" ht="25.5" customHeight="1">
      <c r="A457" s="46" t="str">
        <f>A415</f>
        <v>D10</v>
      </c>
      <c r="B457" s="183" t="str">
        <f>C415</f>
        <v>EDIFICAÇÃO 10 - Gleba D10</v>
      </c>
      <c r="C457" s="169"/>
      <c r="D457" s="184" t="s">
        <v>280</v>
      </c>
      <c r="E457" s="169"/>
      <c r="F457" s="169"/>
      <c r="G457" s="55">
        <f>SUM(H418:H454)</f>
        <v>0</v>
      </c>
      <c r="H457" s="56"/>
      <c r="I457" s="24"/>
      <c r="J457" s="24"/>
      <c r="K457" s="39">
        <f>IF(SUM(L450:L453)&gt;SUM(L418:L448),SUM(L450:L453),SUM(L418:L448))</f>
        <v>144</v>
      </c>
      <c r="L457" s="40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spans="1:23" ht="25.5" customHeight="1">
      <c r="A458" s="66"/>
      <c r="B458" s="53"/>
      <c r="D458" s="53"/>
      <c r="G458" s="67"/>
      <c r="H458" s="67"/>
      <c r="I458" s="24"/>
      <c r="J458" s="24"/>
      <c r="K458" s="39">
        <f>SUMIF('Composição dos serv'!A:A,'PESM Itutinga Piloes pt1'!B458,'Composição dos serv'!K:K)</f>
        <v>0</v>
      </c>
      <c r="L458" s="40">
        <f t="shared" ref="L458:L460" si="122">ROUNDUP(K458*E458,0)</f>
        <v>0</v>
      </c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spans="1:23" ht="25.5" customHeight="1">
      <c r="A459" s="92" t="s">
        <v>310</v>
      </c>
      <c r="B459" s="92">
        <v>2</v>
      </c>
      <c r="C459" s="93" t="s">
        <v>311</v>
      </c>
      <c r="D459" s="93"/>
      <c r="E459" s="93"/>
      <c r="F459" s="93"/>
      <c r="G459" s="93"/>
      <c r="H459" s="93"/>
      <c r="I459" s="24"/>
      <c r="J459" s="24"/>
      <c r="K459" s="39">
        <f>SUMIF('Composição dos serv'!A:A,'PESM Itutinga Piloes pt1'!B459,'Composição dos serv'!K:K)</f>
        <v>0</v>
      </c>
      <c r="L459" s="40">
        <f t="shared" si="122"/>
        <v>0</v>
      </c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spans="1:23" ht="25.5" hidden="1" customHeight="1">
      <c r="A460" s="26"/>
      <c r="B460" s="66"/>
      <c r="C460" s="66"/>
      <c r="D460" s="66"/>
      <c r="E460" s="66"/>
      <c r="F460" s="66"/>
      <c r="G460" s="66"/>
      <c r="H460" s="66"/>
      <c r="I460" s="24"/>
      <c r="J460" s="24"/>
      <c r="K460" s="39">
        <f>SUMIF('Composição dos serv'!A:A,'PESM Itutinga Piloes pt1'!B460,'Composição dos serv'!K:K)</f>
        <v>0</v>
      </c>
      <c r="L460" s="40">
        <f t="shared" si="122"/>
        <v>0</v>
      </c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spans="1:23" ht="25.5" customHeight="1">
      <c r="A461" s="33" t="str">
        <f>CONCATENATE(A459,".1")</f>
        <v>D11.1</v>
      </c>
      <c r="B461" s="33" t="s">
        <v>67</v>
      </c>
      <c r="C461" s="48" t="str">
        <f>VLOOKUP(B461,'Composição dos serv'!A:I,3,FALSE)</f>
        <v>DEMOLIÇÃO DE CALÇADAS E/OU CAMINHOS</v>
      </c>
      <c r="D461" s="48"/>
      <c r="E461" s="48"/>
      <c r="F461" s="48"/>
      <c r="G461" s="48"/>
      <c r="H461" s="48"/>
      <c r="I461" s="24"/>
      <c r="J461" s="24"/>
      <c r="K461" s="31"/>
      <c r="L461" s="32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spans="1:23" ht="25.5" customHeight="1">
      <c r="A462" s="26" t="str">
        <f>A461</f>
        <v>D11.1</v>
      </c>
      <c r="B462" s="26" t="s">
        <v>69</v>
      </c>
      <c r="C462" s="49" t="str">
        <f>VLOOKUP(B462,'Composição dos serv'!A:I,3,FALSE)</f>
        <v>Demolição de calçada ou caminhos</v>
      </c>
      <c r="D462" s="50" t="str">
        <f>VLOOKUP(B462,'Composição dos serv'!A:I,4,FALSE)</f>
        <v>m²</v>
      </c>
      <c r="E462" s="49">
        <v>15</v>
      </c>
      <c r="F462" s="49">
        <f>ROUNDUP(E462*0.15,2)</f>
        <v>2.25</v>
      </c>
      <c r="G462" s="51">
        <f>SUMIF('Composição dos serv'!A:A,'PESM Itutinga Piloes pt1'!B462,'Composição dos serv'!I:I)</f>
        <v>0</v>
      </c>
      <c r="H462" s="51">
        <f t="shared" ref="H462:H463" si="123">E462*G462</f>
        <v>0</v>
      </c>
      <c r="I462" s="24"/>
      <c r="J462" s="24"/>
      <c r="K462" s="39">
        <f>SUMIF('Composição dos serv'!A:A,B462,'Composição dos serv'!K:K)</f>
        <v>0.12</v>
      </c>
      <c r="L462" s="40">
        <f t="shared" ref="L462:L492" si="124">ROUNDUP(K462*E462,0)</f>
        <v>2</v>
      </c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spans="1:23" ht="25.5" hidden="1" customHeight="1">
      <c r="A463" s="26" t="str">
        <f>A461</f>
        <v>D11.1</v>
      </c>
      <c r="B463" s="26" t="s">
        <v>75</v>
      </c>
      <c r="C463" s="37" t="str">
        <f>VLOOKUP(B463,'Composição dos serv'!A:I,3,FALSE)</f>
        <v>Demolição de via Asfaltada, em paralelepípedo ou intertravados</v>
      </c>
      <c r="D463" s="26" t="str">
        <f>VLOOKUP(B463,'Composição dos serv'!A:I,4,FALSE)</f>
        <v>m²</v>
      </c>
      <c r="E463" s="37"/>
      <c r="F463" s="37">
        <f>ROUNDUP(E463*0.2,2)</f>
        <v>0</v>
      </c>
      <c r="G463" s="38">
        <f>SUMIF('Composição dos serv'!A:A,'PESM Itutinga Piloes pt1'!B463,'Composição dos serv'!I:I)</f>
        <v>0</v>
      </c>
      <c r="H463" s="38">
        <f t="shared" si="123"/>
        <v>0</v>
      </c>
      <c r="I463" s="24"/>
      <c r="J463" s="24"/>
      <c r="K463" s="39">
        <f>SUMIF('Composição dos serv'!A:A,B463,'Composição dos serv'!K:K)</f>
        <v>0.06</v>
      </c>
      <c r="L463" s="40">
        <f t="shared" si="124"/>
        <v>0</v>
      </c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spans="1:23" ht="25.5" customHeight="1">
      <c r="A464" s="33" t="str">
        <f>CONCATENATE(A459,".2")</f>
        <v>D11.2</v>
      </c>
      <c r="B464" s="33" t="s">
        <v>85</v>
      </c>
      <c r="C464" s="34" t="str">
        <f>VLOOKUP(B464,'Composição dos serv'!A:I,3,FALSE)</f>
        <v>DEMOLIÇÃO DE MUROS E CERCAS</v>
      </c>
      <c r="D464" s="35"/>
      <c r="E464" s="35"/>
      <c r="F464" s="35"/>
      <c r="G464" s="35"/>
      <c r="H464" s="36"/>
      <c r="I464" s="24"/>
      <c r="J464" s="24"/>
      <c r="K464" s="39">
        <f>SUMIF('Composição dos serv'!A:A,B464,'Composição dos serv'!K:K)</f>
        <v>0</v>
      </c>
      <c r="L464" s="40">
        <f t="shared" si="124"/>
        <v>0</v>
      </c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spans="1:23" ht="25.5" customHeight="1">
      <c r="A465" s="26" t="str">
        <f>A464</f>
        <v>D11.2</v>
      </c>
      <c r="B465" s="26" t="s">
        <v>87</v>
      </c>
      <c r="C465" s="37" t="str">
        <f>VLOOKUP(B465,'Composição dos serv'!A:I,3,FALSE)</f>
        <v>Demolição de muro em alvenaria ou alambrados</v>
      </c>
      <c r="D465" s="26" t="str">
        <f>VLOOKUP(B465,'Composição dos serv'!A:I,4,FALSE)</f>
        <v>m</v>
      </c>
      <c r="E465" s="37">
        <v>25</v>
      </c>
      <c r="F465" s="37">
        <f>ROUNDUP(E465*0.2*2.4,2)</f>
        <v>12</v>
      </c>
      <c r="G465" s="38">
        <f>SUMIF('Composição dos serv'!A:A,'PESM Itutinga Piloes pt1'!B465,'Composição dos serv'!I:I)</f>
        <v>0</v>
      </c>
      <c r="H465" s="38">
        <f t="shared" ref="H465:H466" si="125">E465*G465</f>
        <v>0</v>
      </c>
      <c r="I465" s="24"/>
      <c r="J465" s="24"/>
      <c r="K465" s="39">
        <f>SUMIF('Composição dos serv'!A:A,B465,'Composição dos serv'!K:K)</f>
        <v>0.26</v>
      </c>
      <c r="L465" s="40">
        <f t="shared" si="124"/>
        <v>7</v>
      </c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spans="1:23" ht="25.5" customHeight="1">
      <c r="A466" s="26" t="str">
        <f>A464</f>
        <v>D11.2</v>
      </c>
      <c r="B466" s="26" t="s">
        <v>93</v>
      </c>
      <c r="C466" s="37" t="str">
        <f>VLOOKUP(B466,'Composição dos serv'!A:I,3,FALSE)</f>
        <v>Demolição de Cercas</v>
      </c>
      <c r="D466" s="26" t="str">
        <f>VLOOKUP(B466,'Composição dos serv'!A:I,4,FALSE)</f>
        <v>m</v>
      </c>
      <c r="E466" s="37">
        <v>23</v>
      </c>
      <c r="F466" s="37">
        <f>ROUNDUP(E466*0.1*1.8,2)</f>
        <v>4.1399999999999997</v>
      </c>
      <c r="G466" s="38">
        <f>SUMIF('Composição dos serv'!A:A,'PESM Itutinga Piloes pt1'!B466,'Composição dos serv'!I:I)</f>
        <v>0</v>
      </c>
      <c r="H466" s="38">
        <f t="shared" si="125"/>
        <v>0</v>
      </c>
      <c r="I466" s="24"/>
      <c r="J466" s="24"/>
      <c r="K466" s="39">
        <f>SUMIF('Composição dos serv'!A:A,B466,'Composição dos serv'!K:K)</f>
        <v>0.06</v>
      </c>
      <c r="L466" s="40">
        <f t="shared" si="124"/>
        <v>2</v>
      </c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spans="1:23" ht="25.5" customHeight="1">
      <c r="A467" s="33" t="str">
        <f>CONCATENATE(A459,".3")</f>
        <v>D11.3</v>
      </c>
      <c r="B467" s="33" t="s">
        <v>99</v>
      </c>
      <c r="C467" s="48" t="str">
        <f>VLOOKUP(B467,'Composição dos serv'!A:I,3,FALSE)</f>
        <v>COBERTURA</v>
      </c>
      <c r="D467" s="48"/>
      <c r="E467" s="48"/>
      <c r="F467" s="48"/>
      <c r="G467" s="48"/>
      <c r="H467" s="48"/>
      <c r="I467" s="24"/>
      <c r="J467" s="24"/>
      <c r="K467" s="39">
        <f>SUMIF('Composição dos serv'!A:A,B467,'Composição dos serv'!K:K)</f>
        <v>0</v>
      </c>
      <c r="L467" s="40">
        <f t="shared" si="124"/>
        <v>0</v>
      </c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spans="1:23" ht="25.5" hidden="1" customHeight="1">
      <c r="A468" s="26" t="str">
        <f t="shared" ref="A468:A473" si="126">A467</f>
        <v>D11.3</v>
      </c>
      <c r="B468" s="26" t="s">
        <v>101</v>
      </c>
      <c r="C468" s="37" t="str">
        <f>VLOOKUP(B468,'Composição dos serv'!A:I,3,FALSE)</f>
        <v>Retirada de Estrutura de madeira sem telhas</v>
      </c>
      <c r="D468" s="26" t="str">
        <f>VLOOKUP(B468,'Composição dos serv'!A:I,4,FALSE)</f>
        <v>m²</v>
      </c>
      <c r="E468" s="37"/>
      <c r="F468" s="37">
        <f>ROUNDUP(E468*0.2,2)</f>
        <v>0</v>
      </c>
      <c r="G468" s="38">
        <f>SUMIF('Composição dos serv'!A:A,'PESM Itutinga Piloes pt1'!B468,'Composição dos serv'!I:I)</f>
        <v>0</v>
      </c>
      <c r="H468" s="38">
        <f t="shared" ref="H468:H473" si="127">E468*G468</f>
        <v>0</v>
      </c>
      <c r="I468" s="24"/>
      <c r="J468" s="24"/>
      <c r="K468" s="39">
        <f>SUMIF('Composição dos serv'!A:A,B468,'Composição dos serv'!K:K)</f>
        <v>0.03</v>
      </c>
      <c r="L468" s="40">
        <f t="shared" si="124"/>
        <v>0</v>
      </c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spans="1:23" ht="25.5" customHeight="1">
      <c r="A469" s="26" t="str">
        <f t="shared" si="126"/>
        <v>D11.3</v>
      </c>
      <c r="B469" s="26" t="s">
        <v>105</v>
      </c>
      <c r="C469" s="37" t="str">
        <f>VLOOKUP(B469,'Composição dos serv'!A:I,3,FALSE)</f>
        <v>Retirada de Telhas de Barro com Estrutura em madeira (tesouras, treliças,...)</v>
      </c>
      <c r="D469" s="26" t="str">
        <f>VLOOKUP(B469,'Composição dos serv'!A:I,4,FALSE)</f>
        <v>m²</v>
      </c>
      <c r="E469" s="37">
        <v>360</v>
      </c>
      <c r="F469" s="37">
        <f>ROUNDUP(E469*0.08+E469*0.2,2)</f>
        <v>100.8</v>
      </c>
      <c r="G469" s="38">
        <f>SUMIF('Composição dos serv'!A:A,'PESM Itutinga Piloes pt1'!B469,'Composição dos serv'!I:I)</f>
        <v>0</v>
      </c>
      <c r="H469" s="38">
        <f t="shared" si="127"/>
        <v>0</v>
      </c>
      <c r="I469" s="24"/>
      <c r="J469" s="24"/>
      <c r="K469" s="39">
        <f>SUMIF('Composição dos serv'!A:A,B469,'Composição dos serv'!K:K)</f>
        <v>0.06</v>
      </c>
      <c r="L469" s="40">
        <f t="shared" si="124"/>
        <v>22</v>
      </c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spans="1:23" ht="25.5" hidden="1" customHeight="1">
      <c r="A470" s="26" t="str">
        <f t="shared" si="126"/>
        <v>D11.3</v>
      </c>
      <c r="B470" s="26" t="s">
        <v>111</v>
      </c>
      <c r="C470" s="37" t="str">
        <f>VLOOKUP(B470,'Composição dos serv'!A:I,3,FALSE)</f>
        <v>Retirada de Telhas de amianto Sem Estrutura</v>
      </c>
      <c r="D470" s="26" t="str">
        <f>VLOOKUP(B470,'Composição dos serv'!A:I,4,FALSE)</f>
        <v>m²</v>
      </c>
      <c r="E470" s="37"/>
      <c r="F470" s="37"/>
      <c r="G470" s="38">
        <f>SUMIF('Composição dos serv'!A:A,'PESM Itutinga Piloes pt1'!B470,'Composição dos serv'!I:I)</f>
        <v>0</v>
      </c>
      <c r="H470" s="38">
        <f t="shared" si="127"/>
        <v>0</v>
      </c>
      <c r="I470" s="24"/>
      <c r="J470" s="24"/>
      <c r="K470" s="39">
        <f>SUMIF('Composição dos serv'!A:A,B470,'Composição dos serv'!K:K)</f>
        <v>0.02</v>
      </c>
      <c r="L470" s="40">
        <f t="shared" si="124"/>
        <v>0</v>
      </c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:23" ht="25.5" customHeight="1">
      <c r="A471" s="26" t="str">
        <f t="shared" si="126"/>
        <v>D11.3</v>
      </c>
      <c r="B471" s="26" t="s">
        <v>117</v>
      </c>
      <c r="C471" s="37" t="str">
        <f>VLOOKUP(B471,'Composição dos serv'!A:I,3,FALSE)</f>
        <v>Retirada de Telhas de amianto com Estrutura em madeira (tesouras, treliças,...)</v>
      </c>
      <c r="D471" s="26" t="str">
        <f>VLOOKUP(B471,'Composição dos serv'!A:I,4,FALSE)</f>
        <v>m²</v>
      </c>
      <c r="E471" s="37">
        <v>72</v>
      </c>
      <c r="F471" s="37">
        <f>ROUNDUP(E471*0.1,2)</f>
        <v>7.2</v>
      </c>
      <c r="G471" s="38">
        <f>SUMIF('Composição dos serv'!A:A,'PESM Itutinga Piloes pt1'!B471,'Composição dos serv'!I:I)</f>
        <v>0</v>
      </c>
      <c r="H471" s="38">
        <f t="shared" si="127"/>
        <v>0</v>
      </c>
      <c r="I471" s="24"/>
      <c r="J471" s="24"/>
      <c r="K471" s="39">
        <f>SUMIF('Composição dos serv'!A:A,B471,'Composição dos serv'!K:K)</f>
        <v>0.04</v>
      </c>
      <c r="L471" s="40">
        <f t="shared" si="124"/>
        <v>3</v>
      </c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</row>
    <row r="472" spans="1:23" ht="25.5" hidden="1" customHeight="1">
      <c r="A472" s="26" t="str">
        <f t="shared" si="126"/>
        <v>D11.3</v>
      </c>
      <c r="B472" s="26" t="s">
        <v>121</v>
      </c>
      <c r="C472" s="37" t="str">
        <f>VLOOKUP(B472,'Composição dos serv'!A:I,3,FALSE)</f>
        <v>Retirada de Laje em concreto</v>
      </c>
      <c r="D472" s="26" t="str">
        <f>VLOOKUP(B472,'Composição dos serv'!A:I,4,FALSE)</f>
        <v>m²</v>
      </c>
      <c r="E472" s="37"/>
      <c r="F472" s="37">
        <f>ROUNDUP(E472*0.12,2)</f>
        <v>0</v>
      </c>
      <c r="G472" s="38">
        <f>SUMIF('Composição dos serv'!A:A,'PESM Itutinga Piloes pt1'!B472,'Composição dos serv'!I:I)</f>
        <v>0</v>
      </c>
      <c r="H472" s="38">
        <f t="shared" si="127"/>
        <v>0</v>
      </c>
      <c r="I472" s="24"/>
      <c r="J472" s="24"/>
      <c r="K472" s="39">
        <f>SUMIF('Composição dos serv'!A:A,B472,'Composição dos serv'!K:K)</f>
        <v>0.09</v>
      </c>
      <c r="L472" s="40">
        <f t="shared" si="124"/>
        <v>0</v>
      </c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</row>
    <row r="473" spans="1:23" ht="25.5" customHeight="1">
      <c r="A473" s="26" t="str">
        <f t="shared" si="126"/>
        <v>D11.3</v>
      </c>
      <c r="B473" s="26" t="s">
        <v>129</v>
      </c>
      <c r="C473" s="37" t="str">
        <f>VLOOKUP(B473,'Composição dos serv'!A:I,3,FALSE)</f>
        <v>Retirada de Forros qualquer com sistema de fixação</v>
      </c>
      <c r="D473" s="26" t="str">
        <f>VLOOKUP(B473,'Composição dos serv'!A:I,4,FALSE)</f>
        <v>m²</v>
      </c>
      <c r="E473" s="37">
        <v>259</v>
      </c>
      <c r="F473" s="37">
        <f>ROUNDUP(E473*0.1,2)</f>
        <v>25.9</v>
      </c>
      <c r="G473" s="38">
        <f>SUMIF('Composição dos serv'!A:A,'PESM Itutinga Piloes pt1'!B473,'Composição dos serv'!I:I)</f>
        <v>0</v>
      </c>
      <c r="H473" s="38">
        <f t="shared" si="127"/>
        <v>0</v>
      </c>
      <c r="I473" s="24"/>
      <c r="J473" s="24"/>
      <c r="K473" s="39">
        <f>SUMIF('Composição dos serv'!A:A,B473,'Composição dos serv'!K:K)</f>
        <v>0.04</v>
      </c>
      <c r="L473" s="40">
        <f t="shared" si="124"/>
        <v>11</v>
      </c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</row>
    <row r="474" spans="1:23" ht="25.5" customHeight="1">
      <c r="A474" s="33" t="str">
        <f>CONCATENATE(A459,".4")</f>
        <v>D11.4</v>
      </c>
      <c r="B474" s="33" t="s">
        <v>133</v>
      </c>
      <c r="C474" s="34" t="str">
        <f>VLOOKUP(B474,'Composição dos serv'!A:I,3,FALSE)</f>
        <v>PAREDES</v>
      </c>
      <c r="D474" s="35"/>
      <c r="E474" s="35"/>
      <c r="F474" s="35"/>
      <c r="G474" s="35"/>
      <c r="H474" s="36"/>
      <c r="I474" s="24"/>
      <c r="J474" s="24"/>
      <c r="K474" s="39">
        <f>SUMIF('Composição dos serv'!A:A,B474,'Composição dos serv'!K:K)</f>
        <v>0</v>
      </c>
      <c r="L474" s="40">
        <f t="shared" si="124"/>
        <v>0</v>
      </c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</row>
    <row r="475" spans="1:23" ht="25.5" customHeight="1">
      <c r="A475" s="26" t="str">
        <f>A474</f>
        <v>D11.4</v>
      </c>
      <c r="B475" s="26" t="s">
        <v>135</v>
      </c>
      <c r="C475" s="37" t="str">
        <f>VLOOKUP(B475,'Composição dos serv'!A:I,3,FALSE)</f>
        <v>Parede em Alvenaria - usar área construida</v>
      </c>
      <c r="D475" s="26" t="str">
        <f>VLOOKUP(B475,'Composição dos serv'!A:I,4,FALSE)</f>
        <v>m²</v>
      </c>
      <c r="E475" s="49">
        <v>432</v>
      </c>
      <c r="F475" s="37">
        <f>ROUNDUP(E475*0.8,2)</f>
        <v>345.6</v>
      </c>
      <c r="G475" s="38">
        <f>SUMIF('Composição dos serv'!A:A,B475,'Composição dos serv'!I:I)</f>
        <v>0</v>
      </c>
      <c r="H475" s="38">
        <f t="shared" ref="H475:H477" si="128">E475*G475</f>
        <v>0</v>
      </c>
      <c r="I475" s="24"/>
      <c r="J475" s="24"/>
      <c r="K475" s="39">
        <f>SUMIF('Composição dos serv'!A:A,B475,'Composição dos serv'!K:K)</f>
        <v>0.15000000000000002</v>
      </c>
      <c r="L475" s="40">
        <f t="shared" si="124"/>
        <v>65</v>
      </c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</row>
    <row r="476" spans="1:23" ht="25.5" hidden="1" customHeight="1">
      <c r="A476" s="26" t="str">
        <f>A474</f>
        <v>D11.4</v>
      </c>
      <c r="B476" s="26" t="s">
        <v>143</v>
      </c>
      <c r="C476" s="37" t="str">
        <f>VLOOKUP(B476,'Composição dos serv'!A:I,3,FALSE)</f>
        <v>Parede em Madeirite - Chapas de madeira compensada ou aglomerada - área construída</v>
      </c>
      <c r="D476" s="26" t="str">
        <f>VLOOKUP(B476,'Composição dos serv'!A:I,4,FALSE)</f>
        <v>m²</v>
      </c>
      <c r="E476" s="37"/>
      <c r="F476" s="37">
        <f>ROUNDUP(E476*0.21,2)</f>
        <v>0</v>
      </c>
      <c r="G476" s="38">
        <f>SUMIF('Composição dos serv'!A:A,B476,'Composição dos serv'!I:I)</f>
        <v>0</v>
      </c>
      <c r="H476" s="38">
        <f t="shared" si="128"/>
        <v>0</v>
      </c>
      <c r="I476" s="24"/>
      <c r="J476" s="24"/>
      <c r="K476" s="39">
        <f>SUMIF('Composição dos serv'!A:A,B476,'Composição dos serv'!K:K)</f>
        <v>0.15000000000000002</v>
      </c>
      <c r="L476" s="40">
        <f t="shared" si="124"/>
        <v>0</v>
      </c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spans="1:23" ht="25.5" hidden="1" customHeight="1">
      <c r="A477" s="26" t="str">
        <f>A474</f>
        <v>D11.4</v>
      </c>
      <c r="B477" s="26" t="s">
        <v>145</v>
      </c>
      <c r="C477" s="37" t="str">
        <f>VLOOKUP(B477,'Composição dos serv'!A:I,3,FALSE)</f>
        <v>Parede em Lambril de madeira - área construída</v>
      </c>
      <c r="D477" s="26" t="str">
        <f>VLOOKUP(B477,'Composição dos serv'!A:I,4,FALSE)</f>
        <v>m²</v>
      </c>
      <c r="E477" s="37"/>
      <c r="F477" s="37">
        <f>ROUNDUP(E477*4*0.12,2)</f>
        <v>0</v>
      </c>
      <c r="G477" s="38">
        <f>SUMIF('Composição dos serv'!A:A,B477,'Composição dos serv'!I:I)</f>
        <v>0</v>
      </c>
      <c r="H477" s="38">
        <f t="shared" si="128"/>
        <v>0</v>
      </c>
      <c r="I477" s="24"/>
      <c r="J477" s="24"/>
      <c r="K477" s="39">
        <f>SUMIF('Composição dos serv'!A:A,B477,'Composição dos serv'!K:K)</f>
        <v>0.35000000000000009</v>
      </c>
      <c r="L477" s="40">
        <f t="shared" si="124"/>
        <v>0</v>
      </c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</row>
    <row r="478" spans="1:23" ht="25.5" customHeight="1">
      <c r="A478" s="33" t="str">
        <f>CONCATENATE(A459,".5")</f>
        <v>D11.5</v>
      </c>
      <c r="B478" s="33" t="s">
        <v>153</v>
      </c>
      <c r="C478" s="34" t="str">
        <f>VLOOKUP(B478,'Composição dos serv'!A:I,3,FALSE)</f>
        <v>PISO E FUNDAÇÃO</v>
      </c>
      <c r="D478" s="35"/>
      <c r="E478" s="35"/>
      <c r="F478" s="35"/>
      <c r="G478" s="35"/>
      <c r="H478" s="36"/>
      <c r="I478" s="24"/>
      <c r="J478" s="24"/>
      <c r="K478" s="39">
        <f>SUMIF('Composição dos serv'!A:A,B478,'Composição dos serv'!K:K)</f>
        <v>0</v>
      </c>
      <c r="L478" s="40">
        <f t="shared" si="124"/>
        <v>0</v>
      </c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</row>
    <row r="479" spans="1:23" ht="25.5" hidden="1" customHeight="1">
      <c r="A479" s="26" t="str">
        <f>A478</f>
        <v>D11.5</v>
      </c>
      <c r="B479" s="26" t="s">
        <v>155</v>
      </c>
      <c r="C479" s="37" t="str">
        <f>VLOOKUP(B479,'Composição dos serv'!A:I,3,FALSE)</f>
        <v>Piso da edificação com fundação</v>
      </c>
      <c r="D479" s="26" t="str">
        <f>VLOOKUP(B479,'Composição dos serv'!A:I,4,FALSE)</f>
        <v>m²</v>
      </c>
      <c r="E479" s="37"/>
      <c r="F479" s="37">
        <f>ROUNDUP(E479*0.24,2)</f>
        <v>0</v>
      </c>
      <c r="G479" s="38">
        <f>SUMIF('Composição dos serv'!A:A,B479,'Composição dos serv'!I:I)</f>
        <v>0</v>
      </c>
      <c r="H479" s="38">
        <f>E479*G479</f>
        <v>0</v>
      </c>
      <c r="I479" s="24"/>
      <c r="J479" s="24"/>
      <c r="K479" s="39">
        <f>SUMIF('Composição dos serv'!A:A,B479,'Composição dos serv'!K:K)</f>
        <v>0.17</v>
      </c>
      <c r="L479" s="40">
        <f t="shared" si="124"/>
        <v>0</v>
      </c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</row>
    <row r="480" spans="1:23" ht="25.5" customHeight="1">
      <c r="A480" s="33" t="str">
        <f>CONCATENATE(A459,".6")</f>
        <v>D11.6</v>
      </c>
      <c r="B480" s="33" t="s">
        <v>161</v>
      </c>
      <c r="C480" s="48" t="str">
        <f>VLOOKUP(B480,'Composição dos serv'!A:I,3,FALSE)</f>
        <v>ESTRUTURAS DIVERSAS</v>
      </c>
      <c r="D480" s="48"/>
      <c r="E480" s="48"/>
      <c r="F480" s="48"/>
      <c r="G480" s="48"/>
      <c r="H480" s="48"/>
      <c r="I480" s="24"/>
      <c r="J480" s="24"/>
      <c r="K480" s="39">
        <f>SUMIF('Composição dos serv'!A:A,B480,'Composição dos serv'!K:K)</f>
        <v>0</v>
      </c>
      <c r="L480" s="40">
        <f t="shared" si="124"/>
        <v>0</v>
      </c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</row>
    <row r="481" spans="1:23" ht="25.5" hidden="1" customHeight="1">
      <c r="A481" s="26" t="str">
        <f>A480</f>
        <v>D11.6</v>
      </c>
      <c r="B481" s="26" t="s">
        <v>163</v>
      </c>
      <c r="C481" s="37" t="str">
        <f>VLOOKUP(B481,'Composição dos serv'!A:I,3,FALSE)</f>
        <v>Escada em concreto com corrimão</v>
      </c>
      <c r="D481" s="26" t="str">
        <f>VLOOKUP(B481,'Composição dos serv'!A:I,4,FALSE)</f>
        <v>m</v>
      </c>
      <c r="E481" s="49"/>
      <c r="F481" s="37">
        <f>ROUNDUP(E481*1.2*0.25,2)</f>
        <v>0</v>
      </c>
      <c r="G481" s="38">
        <f>SUMIF('Composição dos serv'!A:A,'PESM Itutinga Piloes pt1'!B481,'Composição dos serv'!I:I)</f>
        <v>0</v>
      </c>
      <c r="H481" s="38">
        <f t="shared" ref="H481:H484" si="129">E481*G481</f>
        <v>0</v>
      </c>
      <c r="I481" s="24"/>
      <c r="J481" s="24"/>
      <c r="K481" s="39">
        <f>SUMIF('Composição dos serv'!A:A,B481,'Composição dos serv'!K:K)</f>
        <v>0.39</v>
      </c>
      <c r="L481" s="40">
        <f t="shared" si="124"/>
        <v>0</v>
      </c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</row>
    <row r="482" spans="1:23" ht="25.5" customHeight="1">
      <c r="A482" s="26" t="str">
        <f>A480</f>
        <v>D11.6</v>
      </c>
      <c r="B482" s="26" t="s">
        <v>169</v>
      </c>
      <c r="C482" s="37" t="str">
        <f>VLOOKUP(B482,'Composição dos serv'!A:I,3,FALSE)</f>
        <v>Entrada de Energia - medidor</v>
      </c>
      <c r="D482" s="26" t="str">
        <f>VLOOKUP(B482,'Composição dos serv'!A:I,4,FALSE)</f>
        <v>un</v>
      </c>
      <c r="E482" s="37">
        <v>1</v>
      </c>
      <c r="F482" s="37">
        <f>ROUNDUP(E482*(3.2+(((3.1415*0.4^2)/4)*6)),2)</f>
        <v>3.96</v>
      </c>
      <c r="G482" s="38">
        <f>SUMIF('Composição dos serv'!A:A,'PESM Itutinga Piloes pt1'!B482,'Composição dos serv'!I:I)</f>
        <v>0</v>
      </c>
      <c r="H482" s="38">
        <f t="shared" si="129"/>
        <v>0</v>
      </c>
      <c r="I482" s="24"/>
      <c r="J482" s="24"/>
      <c r="K482" s="39">
        <f>SUMIF('Composição dos serv'!A:A,B482,'Composição dos serv'!K:K)</f>
        <v>1.7600000000000002</v>
      </c>
      <c r="L482" s="40">
        <f t="shared" si="124"/>
        <v>2</v>
      </c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</row>
    <row r="483" spans="1:23" ht="25.5" customHeight="1">
      <c r="A483" s="26" t="str">
        <f>A480</f>
        <v>D11.6</v>
      </c>
      <c r="B483" s="26" t="s">
        <v>183</v>
      </c>
      <c r="C483" s="37" t="str">
        <f>VLOOKUP(B483,'Composição dos serv'!A:I,3,FALSE)</f>
        <v>Hidrômetro com abrigo</v>
      </c>
      <c r="D483" s="26" t="str">
        <f>VLOOKUP(B483,'Composição dos serv'!A:I,4,FALSE)</f>
        <v>un</v>
      </c>
      <c r="E483" s="37">
        <v>1</v>
      </c>
      <c r="F483" s="37">
        <f>ROUNDUP(E483*(1.7+0.1),2)</f>
        <v>1.8</v>
      </c>
      <c r="G483" s="38">
        <f>SUMIF('Composição dos serv'!A:A,'PESM Itutinga Piloes pt1'!B483,'Composição dos serv'!I:I)</f>
        <v>0</v>
      </c>
      <c r="H483" s="38">
        <f t="shared" si="129"/>
        <v>0</v>
      </c>
      <c r="I483" s="24"/>
      <c r="J483" s="24"/>
      <c r="K483" s="39">
        <f>SUMIF('Composição dos serv'!A:A,B483,'Composição dos serv'!K:K)</f>
        <v>0.44000000000000006</v>
      </c>
      <c r="L483" s="40">
        <f t="shared" si="124"/>
        <v>1</v>
      </c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</row>
    <row r="484" spans="1:23" ht="25.5" customHeight="1">
      <c r="A484" s="26" t="str">
        <f>A482</f>
        <v>D11.6</v>
      </c>
      <c r="B484" s="26" t="s">
        <v>191</v>
      </c>
      <c r="C484" s="37" t="str">
        <f>VLOOKUP(B484,'Composição dos serv'!A:I,3,FALSE)</f>
        <v>Aterro de Fossa com retirada de tampa</v>
      </c>
      <c r="D484" s="26" t="str">
        <f>VLOOKUP(B484,'Composição dos serv'!A:I,4,FALSE)</f>
        <v>un</v>
      </c>
      <c r="E484" s="37">
        <v>1</v>
      </c>
      <c r="F484" s="37">
        <f>ROUNDUP(E484*(0.4),2)</f>
        <v>0.4</v>
      </c>
      <c r="G484" s="38">
        <f>SUMIF('Composição dos serv'!A:A,'PESM Itutinga Piloes pt1'!B484,'Composição dos serv'!I:I)</f>
        <v>0</v>
      </c>
      <c r="H484" s="38">
        <f t="shared" si="129"/>
        <v>0</v>
      </c>
      <c r="I484" s="24"/>
      <c r="J484" s="24"/>
      <c r="K484" s="39">
        <f>SUMIF('Composição dos serv'!A:A,B484,'Composição dos serv'!K:K)</f>
        <v>0.85000000000000009</v>
      </c>
      <c r="L484" s="40">
        <f t="shared" si="124"/>
        <v>1</v>
      </c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</row>
    <row r="485" spans="1:23" ht="25.5" customHeight="1">
      <c r="A485" s="33" t="str">
        <f>CONCATENATE(A459,".7")</f>
        <v>D11.7</v>
      </c>
      <c r="B485" s="33" t="s">
        <v>195</v>
      </c>
      <c r="C485" s="48" t="str">
        <f>VLOOKUP(B485,'Composição dos serv'!A:I,3,FALSE)</f>
        <v>ACABAMENTOS DIVERSOS e OUTROS</v>
      </c>
      <c r="D485" s="48"/>
      <c r="E485" s="48"/>
      <c r="F485" s="48"/>
      <c r="G485" s="48"/>
      <c r="H485" s="48"/>
      <c r="I485" s="24"/>
      <c r="J485" s="24"/>
      <c r="K485" s="39">
        <f>SUMIF('Composição dos serv'!A:A,B485,'Composição dos serv'!K:K)</f>
        <v>0</v>
      </c>
      <c r="L485" s="40">
        <f t="shared" si="124"/>
        <v>0</v>
      </c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</row>
    <row r="486" spans="1:23" ht="25.5" customHeight="1">
      <c r="A486" s="26" t="str">
        <f>A485</f>
        <v>D11.7</v>
      </c>
      <c r="B486" s="50" t="s">
        <v>197</v>
      </c>
      <c r="C486" s="49" t="str">
        <f>VLOOKUP(B486,'Composição dos serv'!A:I,3,FALSE)</f>
        <v>Remoção de aparelhos sanitarios - por banheiro</v>
      </c>
      <c r="D486" s="50" t="str">
        <f>VLOOKUP(B486,'Composição dos serv'!A:I,4,FALSE)</f>
        <v>unid</v>
      </c>
      <c r="E486" s="49">
        <v>2</v>
      </c>
      <c r="F486" s="37">
        <f t="shared" ref="F486:F488" si="130">ROUNDUP(E486*1,2)</f>
        <v>2</v>
      </c>
      <c r="G486" s="51">
        <f>SUMIF('Composição dos serv'!A:A,B486,'Composição dos serv'!I:I)</f>
        <v>0</v>
      </c>
      <c r="H486" s="51">
        <f t="shared" ref="H486:H492" si="131">E486*G486</f>
        <v>0</v>
      </c>
      <c r="I486" s="24"/>
      <c r="J486" s="24"/>
      <c r="K486" s="39">
        <f>SUMIF('Composição dos serv'!A:A,B486,'Composição dos serv'!K:K)</f>
        <v>0.19</v>
      </c>
      <c r="L486" s="40">
        <f t="shared" si="124"/>
        <v>1</v>
      </c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</row>
    <row r="487" spans="1:23" ht="25.5" customHeight="1">
      <c r="A487" s="26" t="str">
        <f>A485</f>
        <v>D11.7</v>
      </c>
      <c r="B487" s="50" t="s">
        <v>209</v>
      </c>
      <c r="C487" s="37" t="str">
        <f>VLOOKUP(B487,'Composição dos serv'!A:I,3,FALSE)</f>
        <v>Remoção de aparelhos sanitarios - Cozinha e Área de Serviço</v>
      </c>
      <c r="D487" s="26" t="str">
        <f>VLOOKUP(B487,'Composição dos serv'!A:I,4,FALSE)</f>
        <v>unid</v>
      </c>
      <c r="E487" s="37">
        <v>2</v>
      </c>
      <c r="F487" s="37">
        <f t="shared" si="130"/>
        <v>2</v>
      </c>
      <c r="G487" s="51">
        <f>SUMIF('Composição dos serv'!A:A,B487,'Composição dos serv'!I:I)</f>
        <v>0</v>
      </c>
      <c r="H487" s="38">
        <f t="shared" si="131"/>
        <v>0</v>
      </c>
      <c r="I487" s="24"/>
      <c r="J487" s="24"/>
      <c r="K487" s="39">
        <f>SUMIF('Composição dos serv'!A:A,B487,'Composição dos serv'!K:K)</f>
        <v>0.21</v>
      </c>
      <c r="L487" s="40">
        <f t="shared" si="124"/>
        <v>1</v>
      </c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</row>
    <row r="488" spans="1:23" ht="25.5" customHeight="1">
      <c r="A488" s="26" t="str">
        <f>A485</f>
        <v>D11.7</v>
      </c>
      <c r="B488" s="50" t="s">
        <v>215</v>
      </c>
      <c r="C488" s="37" t="str">
        <f>VLOOKUP(B488,'Composição dos serv'!A:I,3,FALSE)</f>
        <v>Remoção de caixa d'agua</v>
      </c>
      <c r="D488" s="26" t="str">
        <f>VLOOKUP(B488,'Composição dos serv'!A:I,4,FALSE)</f>
        <v>unid</v>
      </c>
      <c r="E488" s="37">
        <v>2</v>
      </c>
      <c r="F488" s="37">
        <f t="shared" si="130"/>
        <v>2</v>
      </c>
      <c r="G488" s="51">
        <f>SUMIF('Composição dos serv'!A:A,B488,'Composição dos serv'!I:I)</f>
        <v>0</v>
      </c>
      <c r="H488" s="38">
        <f t="shared" si="131"/>
        <v>0</v>
      </c>
      <c r="I488" s="24"/>
      <c r="J488" s="24"/>
      <c r="K488" s="39">
        <f>SUMIF('Composição dos serv'!A:A,B488,'Composição dos serv'!K:K)</f>
        <v>0.42000000000000004</v>
      </c>
      <c r="L488" s="40">
        <f t="shared" si="124"/>
        <v>1</v>
      </c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</row>
    <row r="489" spans="1:23" ht="25.5" hidden="1" customHeight="1">
      <c r="A489" s="26" t="str">
        <f>A485</f>
        <v>D11.7</v>
      </c>
      <c r="B489" s="50" t="s">
        <v>219</v>
      </c>
      <c r="C489" s="37" t="str">
        <f>VLOOKUP(B489,'Composição dos serv'!A:I,3,FALSE)</f>
        <v>Remoção do Sistema de Para raios - área do telhado</v>
      </c>
      <c r="D489" s="26" t="str">
        <f>VLOOKUP(B489,'Composição dos serv'!A:I,4,FALSE)</f>
        <v>m²</v>
      </c>
      <c r="E489" s="37"/>
      <c r="F489" s="37">
        <f>ROUNDUP(E489/60,2)</f>
        <v>0</v>
      </c>
      <c r="G489" s="51">
        <f>SUMIF('Composição dos serv'!A:A,B489,'Composição dos serv'!I:I)</f>
        <v>0</v>
      </c>
      <c r="H489" s="38">
        <f t="shared" si="131"/>
        <v>0</v>
      </c>
      <c r="I489" s="24"/>
      <c r="J489" s="24"/>
      <c r="K489" s="39">
        <f>SUMIF('Composição dos serv'!A:A,B489,'Composição dos serv'!K:K)</f>
        <v>0.05</v>
      </c>
      <c r="L489" s="40">
        <f t="shared" si="124"/>
        <v>0</v>
      </c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</row>
    <row r="490" spans="1:23" ht="25.5" customHeight="1">
      <c r="A490" s="26" t="str">
        <f>A485</f>
        <v>D11.7</v>
      </c>
      <c r="B490" s="50" t="s">
        <v>227</v>
      </c>
      <c r="C490" s="37" t="str">
        <f>VLOOKUP(B490,'Composição dos serv'!A:I,3,FALSE)</f>
        <v>Janelas</v>
      </c>
      <c r="D490" s="26" t="str">
        <f>VLOOKUP(B490,'Composição dos serv'!A:I,4,FALSE)</f>
        <v>un</v>
      </c>
      <c r="E490" s="37">
        <v>11</v>
      </c>
      <c r="F490" s="37">
        <f>ROUNDUP(E490*1.5*1.2*0.2,2)</f>
        <v>3.96</v>
      </c>
      <c r="G490" s="51">
        <f>SUMIF('Composição dos serv'!A:A,B490,'Composição dos serv'!I:I)</f>
        <v>0</v>
      </c>
      <c r="H490" s="38">
        <f t="shared" si="131"/>
        <v>0</v>
      </c>
      <c r="I490" s="24"/>
      <c r="J490" s="24"/>
      <c r="K490" s="39">
        <f>SUMIF('Composição dos serv'!A:A,B490,'Composição dos serv'!K:K)</f>
        <v>0</v>
      </c>
      <c r="L490" s="40">
        <f t="shared" si="124"/>
        <v>0</v>
      </c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</row>
    <row r="491" spans="1:23" ht="25.5" customHeight="1">
      <c r="A491" s="26" t="str">
        <f>A485</f>
        <v>D11.7</v>
      </c>
      <c r="B491" s="50" t="s">
        <v>234</v>
      </c>
      <c r="C491" s="37" t="str">
        <f>VLOOKUP(B491,'Composição dos serv'!A:I,3,FALSE)</f>
        <v>Portas</v>
      </c>
      <c r="D491" s="26" t="str">
        <f>VLOOKUP(B491,'Composição dos serv'!A:I,4,FALSE)</f>
        <v>un</v>
      </c>
      <c r="E491" s="37">
        <v>8</v>
      </c>
      <c r="F491" s="37">
        <f>ROUNDUP(E491*2.1*0.9*0.2,2)</f>
        <v>3.03</v>
      </c>
      <c r="G491" s="51">
        <f>SUMIF('Composição dos serv'!A:A,B491,'Composição dos serv'!I:I)</f>
        <v>0</v>
      </c>
      <c r="H491" s="38">
        <f t="shared" si="131"/>
        <v>0</v>
      </c>
      <c r="I491" s="24"/>
      <c r="J491" s="24"/>
      <c r="K491" s="39">
        <f>SUMIF('Composição dos serv'!A:A,B491,'Composição dos serv'!K:K)</f>
        <v>0</v>
      </c>
      <c r="L491" s="40">
        <f t="shared" si="124"/>
        <v>0</v>
      </c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</row>
    <row r="492" spans="1:23" ht="25.5" hidden="1" customHeight="1">
      <c r="A492" s="26" t="str">
        <f>A485</f>
        <v>D11.7</v>
      </c>
      <c r="B492" s="50" t="s">
        <v>236</v>
      </c>
      <c r="C492" s="37" t="str">
        <f>VLOOKUP(B492,'Composição dos serv'!A:I,3,FALSE)</f>
        <v>Guarda corpo de metal</v>
      </c>
      <c r="D492" s="26" t="str">
        <f>VLOOKUP(B492,'Composição dos serv'!A:I,4,FALSE)</f>
        <v>m</v>
      </c>
      <c r="E492" s="37"/>
      <c r="F492" s="37">
        <f>ROUNDUP(E492*1.7*0.05,2)</f>
        <v>0</v>
      </c>
      <c r="G492" s="51">
        <f>SUMIF('Composição dos serv'!A:A,B492,'Composição dos serv'!I:I)</f>
        <v>0</v>
      </c>
      <c r="H492" s="38">
        <f t="shared" si="131"/>
        <v>0</v>
      </c>
      <c r="I492" s="24"/>
      <c r="J492" s="24"/>
      <c r="K492" s="39">
        <f>SUMIF('Composição dos serv'!A:A,B492,'Composição dos serv'!K:K)</f>
        <v>0</v>
      </c>
      <c r="L492" s="40">
        <f t="shared" si="124"/>
        <v>0</v>
      </c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</row>
    <row r="493" spans="1:23" ht="25.5" customHeight="1">
      <c r="A493" s="33" t="str">
        <f>CONCATENATE(A459,".8")</f>
        <v>D11.8</v>
      </c>
      <c r="B493" s="33" t="s">
        <v>240</v>
      </c>
      <c r="C493" s="48" t="str">
        <f>VLOOKUP(B493,'Composição dos serv'!A:I,3,FALSE)</f>
        <v>ENTULHO</v>
      </c>
      <c r="D493" s="48"/>
      <c r="E493" s="48"/>
      <c r="F493" s="48"/>
      <c r="G493" s="48"/>
      <c r="H493" s="48"/>
      <c r="I493" s="24"/>
      <c r="J493" s="24"/>
      <c r="K493" s="39">
        <f>SUMIF('Composição dos serv'!A:A,B493,'Composição dos serv'!K:K)</f>
        <v>0</v>
      </c>
      <c r="L493" s="40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</row>
    <row r="494" spans="1:23" ht="25.5" hidden="1" customHeight="1">
      <c r="A494" s="26" t="str">
        <f>A493</f>
        <v>D11.8</v>
      </c>
      <c r="B494" s="50" t="s">
        <v>242</v>
      </c>
      <c r="C494" s="49" t="str">
        <f>VLOOKUP(B494,'Composição dos serv'!A:I,3,FALSE)</f>
        <v>Transporte e espalhamento Manual do entulho a ser reutilizado</v>
      </c>
      <c r="D494" s="50" t="s">
        <v>291</v>
      </c>
      <c r="E494" s="49"/>
      <c r="F494" s="52">
        <f>IF(E494=1,ROUNDUP((IF(E462&lt;&gt;"",F462,0)+IF(E463&lt;&gt;"",F463,0)+IF(E465&lt;&gt;"",F465,0)+IF(E466&lt;&gt;"",F466*0.34,0)+IF(E469&lt;&gt;"",F469*0.43,0)+IF(E472&lt;&gt;"",F472*0.8,0)+IF(E475&lt;&gt;"",F475*(0.78),0)+IF(E479&lt;&gt;"",F479*0.98,0)+IF(E481&lt;&gt;"",F481*0.91,0)+IF(E482&lt;&gt;"",F482*0.26,0)+IF(E483&lt;&gt;"",F483*0.24,0)+IF(E484&lt;&gt;"",F484,0)),2),0)</f>
        <v>0</v>
      </c>
      <c r="G494" s="51">
        <f>SUMIF('Composição dos serv'!A:A,B494,'Composição dos serv'!I:I)</f>
        <v>0</v>
      </c>
      <c r="H494" s="51">
        <f t="shared" ref="H494:H495" si="132">F494*G494</f>
        <v>0</v>
      </c>
      <c r="I494" s="24"/>
      <c r="J494" s="24"/>
      <c r="K494" s="39">
        <f>SUMIF('Composição dos serv'!A:A,B494,'Composição dos serv'!K:K)</f>
        <v>0.15000000000000002</v>
      </c>
      <c r="L494" s="40">
        <f t="shared" ref="L494:L497" si="133">ROUNDUP(K494*F494,0)</f>
        <v>0</v>
      </c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</row>
    <row r="495" spans="1:23" ht="25.5" hidden="1" customHeight="1">
      <c r="A495" s="26" t="str">
        <f>A493</f>
        <v>D11.8</v>
      </c>
      <c r="B495" s="50" t="s">
        <v>246</v>
      </c>
      <c r="C495" s="49" t="str">
        <f>VLOOKUP(B495,'Composição dos serv'!A:I,3,FALSE)</f>
        <v>Remoção e Transporte Mecanizado do entulho a ser reutilizado</v>
      </c>
      <c r="D495" s="50" t="s">
        <v>291</v>
      </c>
      <c r="E495" s="49"/>
      <c r="F495" s="52">
        <f>IF(E495=1,SUM(F462:F492)-H499,0)</f>
        <v>0</v>
      </c>
      <c r="G495" s="51">
        <f>SUMIF('Composição dos serv'!A:A,B495,'Composição dos serv'!I:I)</f>
        <v>0</v>
      </c>
      <c r="H495" s="51">
        <f t="shared" si="132"/>
        <v>0</v>
      </c>
      <c r="I495" s="24"/>
      <c r="J495" s="24"/>
      <c r="K495" s="39">
        <f>SUMIF('Composição dos serv'!A:A,B495,'Composição dos serv'!K:K)</f>
        <v>0.02</v>
      </c>
      <c r="L495" s="40">
        <f t="shared" si="133"/>
        <v>0</v>
      </c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</row>
    <row r="496" spans="1:23" ht="25.5" hidden="1" customHeight="1">
      <c r="A496" s="26" t="str">
        <f>A493</f>
        <v>D11.8</v>
      </c>
      <c r="B496" s="50" t="s">
        <v>252</v>
      </c>
      <c r="C496" s="49" t="str">
        <f>VLOOKUP(B496,'Composição dos serv'!A:I,3,FALSE)</f>
        <v>Remoção do entulho com caçamba</v>
      </c>
      <c r="D496" s="50" t="s">
        <v>291</v>
      </c>
      <c r="E496" s="49"/>
      <c r="F496" s="52">
        <f>IF(E496=1,SUM(F462:F492),0)</f>
        <v>0</v>
      </c>
      <c r="G496" s="51">
        <f>SUMIF('Composição dos serv'!A:A,B496,'Composição dos serv'!I:I)</f>
        <v>0</v>
      </c>
      <c r="H496" s="51">
        <f>IF(E496&gt;1,"OPÇÃO ERRADA",F496*G496)+IF(G499=1,H499*G496,0)</f>
        <v>0</v>
      </c>
      <c r="I496" s="24"/>
      <c r="J496" s="24"/>
      <c r="K496" s="39">
        <f>SUMIF('Composição dos serv'!A:A,B496,'Composição dos serv'!K:K)</f>
        <v>0.02</v>
      </c>
      <c r="L496" s="40">
        <f t="shared" si="133"/>
        <v>0</v>
      </c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</row>
    <row r="497" spans="1:26" ht="25.5" customHeight="1">
      <c r="A497" s="26" t="str">
        <f>A493</f>
        <v>D11.8</v>
      </c>
      <c r="B497" s="50" t="s">
        <v>256</v>
      </c>
      <c r="C497" s="49" t="str">
        <f>VLOOKUP(B497,'Composição dos serv'!A:I,3,FALSE)</f>
        <v>Remoção e Transporte Mecanizado do entulho para bota fora</v>
      </c>
      <c r="D497" s="50" t="s">
        <v>291</v>
      </c>
      <c r="E497" s="49">
        <v>1</v>
      </c>
      <c r="F497" s="52">
        <f>IF(E497=1,SUM(F462:F492),0)</f>
        <v>517.04</v>
      </c>
      <c r="G497" s="51">
        <f>SUMIF('Composição dos serv'!A:A,B497,'Composição dos serv'!I:I)</f>
        <v>0</v>
      </c>
      <c r="H497" s="51">
        <f>IF(E497&gt;1,"OPÇÃO ERRADA",F497*G497)+IF(G499=2,H499*G497,0)</f>
        <v>0</v>
      </c>
      <c r="I497" s="24"/>
      <c r="J497" s="24"/>
      <c r="K497" s="39">
        <f>SUMIF('Composição dos serv'!A:A,B497,'Composição dos serv'!K:K)</f>
        <v>7.9999999999999988E-2</v>
      </c>
      <c r="L497" s="40">
        <f t="shared" si="133"/>
        <v>42</v>
      </c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</row>
    <row r="498" spans="1:26" ht="25.5" customHeight="1">
      <c r="A498" s="26" t="str">
        <f>A493</f>
        <v>D11.8</v>
      </c>
      <c r="B498" s="50" t="s">
        <v>264</v>
      </c>
      <c r="C498" s="49" t="str">
        <f>VLOOKUP(B498,'Composição dos serv'!A:I,3,FALSE)</f>
        <v>Remoção de telhas em cimento amianto</v>
      </c>
      <c r="D498" s="26" t="str">
        <f>VLOOKUP(B498,'Composição dos serv'!A:I,4,FALSE)</f>
        <v>m²</v>
      </c>
      <c r="E498" s="49">
        <f>SUM(E470:E471)</f>
        <v>72</v>
      </c>
      <c r="F498" s="52"/>
      <c r="G498" s="51">
        <f>SUMIF('Composição dos serv'!A:A,B498,'Composição dos serv'!I:I)</f>
        <v>0</v>
      </c>
      <c r="H498" s="51">
        <f>G498*E498</f>
        <v>0</v>
      </c>
      <c r="I498" s="24"/>
      <c r="J498" s="24"/>
      <c r="K498" s="39"/>
      <c r="L498" s="40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</row>
    <row r="499" spans="1:26" ht="25.5" customHeight="1">
      <c r="A499" s="53"/>
      <c r="B499" s="53"/>
      <c r="C499" s="37" t="str">
        <f>IF(E496&lt;&gt;1,IF(E497&lt;&gt;1,IF(H499&lt;&gt;0,"Há Material não reutilizavel qual a destinação para ele?",""),""),"")</f>
        <v/>
      </c>
      <c r="D499" s="168" t="str">
        <f>IF(E496&lt;&gt;1,IF(E497&lt;&gt;1,IF(H499&lt;&gt;0,"Caçamba = 1; Aterro = 2",""),""),"")</f>
        <v/>
      </c>
      <c r="E499" s="169"/>
      <c r="F499" s="170"/>
      <c r="G499" s="37"/>
      <c r="H499" s="54">
        <f>IF(E496=1,0,IF(E497=1,0,ROUNDUP((IF(E466&lt;&gt;"",F466*0.66,0)+IF(E469&lt;&gt;"",F469*0.57,0)+IF(E471&lt;&gt;"",F471,0)+IF(E472&lt;&gt;"",F472*0.2,0)+IF(E473&lt;&gt;"",F473,0)+IF(E475&lt;&gt;"",F475*0.22,0)+IF(E476&lt;&gt;"",F476,0)+IF(E477&lt;&gt;"",F477,0)+IF(E479&lt;&gt;"",F479*0.02,0)+IF(E481&lt;&gt;"",F481*0.09,0)+IF(E482&lt;&gt;"",F482*0.74,0)+IF(E483&lt;&gt;"",F483*(1-0.24),0)+IF(E486&lt;&gt;"",F486,0)+IF(E487&lt;&gt;"",F487,0)+IF(E488&lt;&gt;"",F488,0)+IF(E489&lt;&gt;"",F489,0)+IF(E490&lt;&gt;"",F490,0)+IF(E491&lt;&gt;"",F491,0)+IF(E492&lt;&gt;"",F492,0)+IF(E470&lt;&gt;"",F470,0)+IF(E468&lt;&gt;"",F468,0)),2)))</f>
        <v>0</v>
      </c>
      <c r="I499" s="24"/>
      <c r="J499" s="24"/>
      <c r="K499" s="39"/>
      <c r="L499" s="40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</row>
    <row r="500" spans="1:26" ht="25.5" hidden="1" customHeight="1">
      <c r="I500" s="24"/>
      <c r="J500" s="24"/>
      <c r="K500" s="39">
        <f>SUMIF('Composição dos serv'!A:A,'PESM Itutinga Piloes pt1'!B500,'Composição dos serv'!K:K)</f>
        <v>0</v>
      </c>
      <c r="L500" s="40">
        <f>ROUNDUP(K500*E500,0)</f>
        <v>0</v>
      </c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</row>
    <row r="501" spans="1:26" ht="25.5" customHeight="1">
      <c r="A501" s="92" t="str">
        <f>A459</f>
        <v>D11</v>
      </c>
      <c r="B501" s="173" t="str">
        <f>C459</f>
        <v>EDIFICAÇÃO 11 - Gleba D11</v>
      </c>
      <c r="C501" s="169"/>
      <c r="D501" s="174" t="s">
        <v>280</v>
      </c>
      <c r="E501" s="169"/>
      <c r="F501" s="169"/>
      <c r="G501" s="94">
        <f>SUM(H462:H498)</f>
        <v>0</v>
      </c>
      <c r="H501" s="95"/>
      <c r="I501" s="24"/>
      <c r="J501" s="24"/>
      <c r="K501" s="39">
        <f>IF(SUM(L494:L497)&gt;SUM(L462:L492),SUM(L494:L497),SUM(L462:L492))</f>
        <v>119</v>
      </c>
      <c r="L501" s="40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</row>
    <row r="502" spans="1:26" ht="25.5" customHeight="1">
      <c r="A502" s="30"/>
      <c r="B502" s="44"/>
      <c r="C502" s="24"/>
      <c r="D502" s="44"/>
      <c r="E502" s="24"/>
      <c r="F502" s="24"/>
      <c r="G502" s="45"/>
      <c r="H502" s="45"/>
      <c r="I502" s="24"/>
      <c r="J502" s="24"/>
      <c r="K502" s="39">
        <f>SUMIF('Composição dos serv'!A:A,'PESM Itutinga Piloes pt1'!B502,'Composição dos serv'!K:K)</f>
        <v>0</v>
      </c>
      <c r="L502" s="40">
        <f t="shared" ref="L502:L504" si="134">ROUNDUP(K502*E502,0)</f>
        <v>0</v>
      </c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25.5" customHeight="1">
      <c r="A503" s="96" t="s">
        <v>312</v>
      </c>
      <c r="B503" s="96">
        <v>2</v>
      </c>
      <c r="C503" s="97" t="s">
        <v>313</v>
      </c>
      <c r="D503" s="97"/>
      <c r="E503" s="97"/>
      <c r="F503" s="97"/>
      <c r="G503" s="97"/>
      <c r="H503" s="97"/>
      <c r="I503" s="24"/>
      <c r="J503" s="24"/>
      <c r="K503" s="39">
        <f>SUMIF('Composição dos serv'!A:A,'PESM Itutinga Piloes pt1'!B503,'Composição dos serv'!K:K)</f>
        <v>0</v>
      </c>
      <c r="L503" s="40">
        <f t="shared" si="134"/>
        <v>0</v>
      </c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</row>
    <row r="504" spans="1:26" ht="25.5" hidden="1" customHeight="1">
      <c r="A504" s="59"/>
      <c r="B504" s="30"/>
      <c r="C504" s="30"/>
      <c r="D504" s="30"/>
      <c r="E504" s="30"/>
      <c r="F504" s="30"/>
      <c r="G504" s="30"/>
      <c r="H504" s="30"/>
      <c r="I504" s="24"/>
      <c r="J504" s="24"/>
      <c r="K504" s="39">
        <f>SUMIF('Composição dos serv'!A:A,'PESM Itutinga Piloes pt1'!B504,'Composição dos serv'!K:K)</f>
        <v>0</v>
      </c>
      <c r="L504" s="40">
        <f t="shared" si="134"/>
        <v>0</v>
      </c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25.5" customHeight="1">
      <c r="A505" s="33" t="str">
        <f>CONCATENATE(A503,".1")</f>
        <v>D12.1</v>
      </c>
      <c r="B505" s="33" t="s">
        <v>67</v>
      </c>
      <c r="C505" s="48" t="str">
        <f>VLOOKUP(B505,'Composição dos serv'!A:I,3,FALSE)</f>
        <v>DEMOLIÇÃO DE CALÇADAS E/OU CAMINHOS</v>
      </c>
      <c r="D505" s="48"/>
      <c r="E505" s="48"/>
      <c r="F505" s="48"/>
      <c r="G505" s="48"/>
      <c r="H505" s="48"/>
      <c r="I505" s="24"/>
      <c r="J505" s="24"/>
      <c r="K505" s="31"/>
      <c r="L505" s="32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</row>
    <row r="506" spans="1:26" ht="25.5" hidden="1" customHeight="1">
      <c r="A506" s="26" t="str">
        <f>A505</f>
        <v>D12.1</v>
      </c>
      <c r="B506" s="26" t="s">
        <v>69</v>
      </c>
      <c r="C506" s="49" t="str">
        <f>VLOOKUP(B506,'Composição dos serv'!A:I,3,FALSE)</f>
        <v>Demolição de calçada ou caminhos</v>
      </c>
      <c r="D506" s="50" t="str">
        <f>VLOOKUP(B506,'Composição dos serv'!A:I,4,FALSE)</f>
        <v>m²</v>
      </c>
      <c r="E506" s="49"/>
      <c r="F506" s="49">
        <f>ROUNDUP(E506*0.15,2)</f>
        <v>0</v>
      </c>
      <c r="G506" s="51">
        <f>SUMIF('Composição dos serv'!A:A,'PESM Itutinga Piloes pt1'!B506,'Composição dos serv'!I:I)</f>
        <v>0</v>
      </c>
      <c r="H506" s="51">
        <f t="shared" ref="H506:H507" si="135">E506*G506</f>
        <v>0</v>
      </c>
      <c r="I506" s="24"/>
      <c r="J506" s="24"/>
      <c r="K506" s="39">
        <f>SUMIF('Composição dos serv'!A:A,B506,'Composição dos serv'!K:K)</f>
        <v>0.12</v>
      </c>
      <c r="L506" s="40">
        <f t="shared" ref="L506:L536" si="136">ROUNDUP(K506*E506,0)</f>
        <v>0</v>
      </c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</row>
    <row r="507" spans="1:26" ht="25.5" hidden="1" customHeight="1">
      <c r="A507" s="26" t="str">
        <f>A505</f>
        <v>D12.1</v>
      </c>
      <c r="B507" s="26" t="s">
        <v>75</v>
      </c>
      <c r="C507" s="37" t="str">
        <f>VLOOKUP(B507,'Composição dos serv'!A:I,3,FALSE)</f>
        <v>Demolição de via Asfaltada, em paralelepípedo ou intertravados</v>
      </c>
      <c r="D507" s="26" t="str">
        <f>VLOOKUP(B507,'Composição dos serv'!A:I,4,FALSE)</f>
        <v>m²</v>
      </c>
      <c r="E507" s="37"/>
      <c r="F507" s="37">
        <f>ROUNDUP(E507*0.2,2)</f>
        <v>0</v>
      </c>
      <c r="G507" s="38">
        <f>SUMIF('Composição dos serv'!A:A,'PESM Itutinga Piloes pt1'!B507,'Composição dos serv'!I:I)</f>
        <v>0</v>
      </c>
      <c r="H507" s="38">
        <f t="shared" si="135"/>
        <v>0</v>
      </c>
      <c r="I507" s="24"/>
      <c r="J507" s="24"/>
      <c r="K507" s="39">
        <f>SUMIF('Composição dos serv'!A:A,B507,'Composição dos serv'!K:K)</f>
        <v>0.06</v>
      </c>
      <c r="L507" s="40">
        <f t="shared" si="136"/>
        <v>0</v>
      </c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</row>
    <row r="508" spans="1:26" ht="25.5" customHeight="1">
      <c r="A508" s="33" t="str">
        <f>CONCATENATE(A503,".2")</f>
        <v>D12.2</v>
      </c>
      <c r="B508" s="33" t="s">
        <v>85</v>
      </c>
      <c r="C508" s="34" t="str">
        <f>VLOOKUP(B508,'Composição dos serv'!A:I,3,FALSE)</f>
        <v>DEMOLIÇÃO DE MUROS E CERCAS</v>
      </c>
      <c r="D508" s="35"/>
      <c r="E508" s="35"/>
      <c r="F508" s="35"/>
      <c r="G508" s="35"/>
      <c r="H508" s="36"/>
      <c r="I508" s="24"/>
      <c r="J508" s="24"/>
      <c r="K508" s="39">
        <f>SUMIF('Composição dos serv'!A:A,B508,'Composição dos serv'!K:K)</f>
        <v>0</v>
      </c>
      <c r="L508" s="40">
        <f t="shared" si="136"/>
        <v>0</v>
      </c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</row>
    <row r="509" spans="1:26" ht="25.5" hidden="1" customHeight="1">
      <c r="A509" s="26" t="str">
        <f>A508</f>
        <v>D12.2</v>
      </c>
      <c r="B509" s="26" t="s">
        <v>87</v>
      </c>
      <c r="C509" s="37" t="str">
        <f>VLOOKUP(B509,'Composição dos serv'!A:I,3,FALSE)</f>
        <v>Demolição de muro em alvenaria ou alambrados</v>
      </c>
      <c r="D509" s="26" t="str">
        <f>VLOOKUP(B509,'Composição dos serv'!A:I,4,FALSE)</f>
        <v>m</v>
      </c>
      <c r="E509" s="37"/>
      <c r="F509" s="37">
        <f>ROUNDUP(E509*0.2*2.4,2)</f>
        <v>0</v>
      </c>
      <c r="G509" s="38">
        <f>SUMIF('Composição dos serv'!A:A,'PESM Itutinga Piloes pt1'!B509,'Composição dos serv'!I:I)</f>
        <v>0</v>
      </c>
      <c r="H509" s="38">
        <f t="shared" ref="H509:H510" si="137">E509*G509</f>
        <v>0</v>
      </c>
      <c r="I509" s="24"/>
      <c r="J509" s="24"/>
      <c r="K509" s="39">
        <f>SUMIF('Composição dos serv'!A:A,B509,'Composição dos serv'!K:K)</f>
        <v>0.26</v>
      </c>
      <c r="L509" s="40">
        <f t="shared" si="136"/>
        <v>0</v>
      </c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</row>
    <row r="510" spans="1:26" ht="25.5" customHeight="1">
      <c r="A510" s="26" t="str">
        <f>A508</f>
        <v>D12.2</v>
      </c>
      <c r="B510" s="26" t="s">
        <v>93</v>
      </c>
      <c r="C510" s="37" t="str">
        <f>VLOOKUP(B510,'Composição dos serv'!A:I,3,FALSE)</f>
        <v>Demolição de Cercas</v>
      </c>
      <c r="D510" s="26" t="str">
        <f>VLOOKUP(B510,'Composição dos serv'!A:I,4,FALSE)</f>
        <v>m</v>
      </c>
      <c r="E510" s="37">
        <v>80</v>
      </c>
      <c r="F510" s="37">
        <f>ROUNDUP(E510*0.1*1.8,2)</f>
        <v>14.4</v>
      </c>
      <c r="G510" s="38">
        <f>SUMIF('Composição dos serv'!A:A,'PESM Itutinga Piloes pt1'!B510,'Composição dos serv'!I:I)</f>
        <v>0</v>
      </c>
      <c r="H510" s="38">
        <f t="shared" si="137"/>
        <v>0</v>
      </c>
      <c r="I510" s="24"/>
      <c r="J510" s="24"/>
      <c r="K510" s="39">
        <f>SUMIF('Composição dos serv'!A:A,B510,'Composição dos serv'!K:K)</f>
        <v>0.06</v>
      </c>
      <c r="L510" s="40">
        <f t="shared" si="136"/>
        <v>5</v>
      </c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</row>
    <row r="511" spans="1:26" ht="25.5" customHeight="1">
      <c r="A511" s="33" t="str">
        <f>CONCATENATE(A503,".3")</f>
        <v>D12.3</v>
      </c>
      <c r="B511" s="33" t="s">
        <v>99</v>
      </c>
      <c r="C511" s="48" t="str">
        <f>VLOOKUP(B511,'Composição dos serv'!A:I,3,FALSE)</f>
        <v>COBERTURA</v>
      </c>
      <c r="D511" s="48"/>
      <c r="E511" s="48"/>
      <c r="F511" s="48"/>
      <c r="G511" s="48"/>
      <c r="H511" s="48"/>
      <c r="I511" s="24"/>
      <c r="J511" s="24"/>
      <c r="K511" s="39">
        <f>SUMIF('Composição dos serv'!A:A,B511,'Composição dos serv'!K:K)</f>
        <v>0</v>
      </c>
      <c r="L511" s="40">
        <f t="shared" si="136"/>
        <v>0</v>
      </c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</row>
    <row r="512" spans="1:26" ht="25.5" hidden="1" customHeight="1">
      <c r="A512" s="26" t="str">
        <f t="shared" ref="A512:A517" si="138">A511</f>
        <v>D12.3</v>
      </c>
      <c r="B512" s="26" t="s">
        <v>101</v>
      </c>
      <c r="C512" s="37" t="str">
        <f>VLOOKUP(B512,'Composição dos serv'!A:I,3,FALSE)</f>
        <v>Retirada de Estrutura de madeira sem telhas</v>
      </c>
      <c r="D512" s="26" t="str">
        <f>VLOOKUP(B512,'Composição dos serv'!A:I,4,FALSE)</f>
        <v>m²</v>
      </c>
      <c r="E512" s="37"/>
      <c r="F512" s="37">
        <f>ROUNDUP(E512*0.2,2)</f>
        <v>0</v>
      </c>
      <c r="G512" s="38">
        <f>SUMIF('Composição dos serv'!A:A,'PESM Itutinga Piloes pt1'!B512,'Composição dos serv'!I:I)</f>
        <v>0</v>
      </c>
      <c r="H512" s="38">
        <f t="shared" ref="H512:H517" si="139">E512*G512</f>
        <v>0</v>
      </c>
      <c r="I512" s="24"/>
      <c r="J512" s="24"/>
      <c r="K512" s="39">
        <f>SUMIF('Composição dos serv'!A:A,B512,'Composição dos serv'!K:K)</f>
        <v>0.03</v>
      </c>
      <c r="L512" s="40">
        <f t="shared" si="136"/>
        <v>0</v>
      </c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</row>
    <row r="513" spans="1:23" ht="25.5" customHeight="1">
      <c r="A513" s="26" t="str">
        <f t="shared" si="138"/>
        <v>D12.3</v>
      </c>
      <c r="B513" s="26" t="s">
        <v>105</v>
      </c>
      <c r="C513" s="37" t="str">
        <f>VLOOKUP(B513,'Composição dos serv'!A:I,3,FALSE)</f>
        <v>Retirada de Telhas de Barro com Estrutura em madeira (tesouras, treliças,...)</v>
      </c>
      <c r="D513" s="26" t="str">
        <f>VLOOKUP(B513,'Composição dos serv'!A:I,4,FALSE)</f>
        <v>m²</v>
      </c>
      <c r="E513" s="37">
        <v>30</v>
      </c>
      <c r="F513" s="37">
        <f>ROUNDUP(E513*0.08+E513*0.2,2)</f>
        <v>8.4</v>
      </c>
      <c r="G513" s="38">
        <f>SUMIF('Composição dos serv'!A:A,'PESM Itutinga Piloes pt1'!B513,'Composição dos serv'!I:I)</f>
        <v>0</v>
      </c>
      <c r="H513" s="38">
        <f t="shared" si="139"/>
        <v>0</v>
      </c>
      <c r="I513" s="24"/>
      <c r="J513" s="24"/>
      <c r="K513" s="39">
        <f>SUMIF('Composição dos serv'!A:A,B513,'Composição dos serv'!K:K)</f>
        <v>0.06</v>
      </c>
      <c r="L513" s="40">
        <f t="shared" si="136"/>
        <v>2</v>
      </c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</row>
    <row r="514" spans="1:23" ht="25.5" hidden="1" customHeight="1">
      <c r="A514" s="26" t="str">
        <f t="shared" si="138"/>
        <v>D12.3</v>
      </c>
      <c r="B514" s="26" t="s">
        <v>111</v>
      </c>
      <c r="C514" s="37" t="str">
        <f>VLOOKUP(B514,'Composição dos serv'!A:I,3,FALSE)</f>
        <v>Retirada de Telhas de amianto Sem Estrutura</v>
      </c>
      <c r="D514" s="26" t="str">
        <f>VLOOKUP(B514,'Composição dos serv'!A:I,4,FALSE)</f>
        <v>m²</v>
      </c>
      <c r="E514" s="37"/>
      <c r="F514" s="37"/>
      <c r="G514" s="38">
        <f>SUMIF('Composição dos serv'!A:A,'PESM Itutinga Piloes pt1'!B514,'Composição dos serv'!I:I)</f>
        <v>0</v>
      </c>
      <c r="H514" s="38">
        <f t="shared" si="139"/>
        <v>0</v>
      </c>
      <c r="I514" s="24"/>
      <c r="J514" s="24"/>
      <c r="K514" s="39">
        <f>SUMIF('Composição dos serv'!A:A,B514,'Composição dos serv'!K:K)</f>
        <v>0.02</v>
      </c>
      <c r="L514" s="40">
        <f t="shared" si="136"/>
        <v>0</v>
      </c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</row>
    <row r="515" spans="1:23" ht="25.5" customHeight="1">
      <c r="A515" s="26" t="str">
        <f t="shared" si="138"/>
        <v>D12.3</v>
      </c>
      <c r="B515" s="26" t="s">
        <v>117</v>
      </c>
      <c r="C515" s="37" t="str">
        <f>VLOOKUP(B515,'Composição dos serv'!A:I,3,FALSE)</f>
        <v>Retirada de Telhas de amianto com Estrutura em madeira (tesouras, treliças,...)</v>
      </c>
      <c r="D515" s="26" t="str">
        <f>VLOOKUP(B515,'Composição dos serv'!A:I,4,FALSE)</f>
        <v>m²</v>
      </c>
      <c r="E515" s="37">
        <v>30</v>
      </c>
      <c r="F515" s="37">
        <f>ROUNDUP(E515*0.1,2)</f>
        <v>3</v>
      </c>
      <c r="G515" s="38">
        <f>SUMIF('Composição dos serv'!A:A,'PESM Itutinga Piloes pt1'!B515,'Composição dos serv'!I:I)</f>
        <v>0</v>
      </c>
      <c r="H515" s="38">
        <f t="shared" si="139"/>
        <v>0</v>
      </c>
      <c r="I515" s="24"/>
      <c r="J515" s="24"/>
      <c r="K515" s="39">
        <f>SUMIF('Composição dos serv'!A:A,B515,'Composição dos serv'!K:K)</f>
        <v>0.04</v>
      </c>
      <c r="L515" s="40">
        <f t="shared" si="136"/>
        <v>2</v>
      </c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</row>
    <row r="516" spans="1:23" ht="25.5" hidden="1" customHeight="1">
      <c r="A516" s="26" t="str">
        <f t="shared" si="138"/>
        <v>D12.3</v>
      </c>
      <c r="B516" s="26" t="s">
        <v>121</v>
      </c>
      <c r="C516" s="37" t="str">
        <f>VLOOKUP(B516,'Composição dos serv'!A:I,3,FALSE)</f>
        <v>Retirada de Laje em concreto</v>
      </c>
      <c r="D516" s="26" t="str">
        <f>VLOOKUP(B516,'Composição dos serv'!A:I,4,FALSE)</f>
        <v>m²</v>
      </c>
      <c r="E516" s="37"/>
      <c r="F516" s="37">
        <f>ROUNDUP(E516*0.12,2)</f>
        <v>0</v>
      </c>
      <c r="G516" s="38">
        <f>SUMIF('Composição dos serv'!A:A,'PESM Itutinga Piloes pt1'!B516,'Composição dos serv'!I:I)</f>
        <v>0</v>
      </c>
      <c r="H516" s="38">
        <f t="shared" si="139"/>
        <v>0</v>
      </c>
      <c r="I516" s="24"/>
      <c r="J516" s="24"/>
      <c r="K516" s="39">
        <f>SUMIF('Composição dos serv'!A:A,B516,'Composição dos serv'!K:K)</f>
        <v>0.09</v>
      </c>
      <c r="L516" s="40">
        <f t="shared" si="136"/>
        <v>0</v>
      </c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</row>
    <row r="517" spans="1:23" ht="25.5" customHeight="1">
      <c r="A517" s="26" t="str">
        <f t="shared" si="138"/>
        <v>D12.3</v>
      </c>
      <c r="B517" s="26" t="s">
        <v>129</v>
      </c>
      <c r="C517" s="37" t="str">
        <f>VLOOKUP(B517,'Composição dos serv'!A:I,3,FALSE)</f>
        <v>Retirada de Forros qualquer com sistema de fixação</v>
      </c>
      <c r="D517" s="26" t="str">
        <f>VLOOKUP(B517,'Composição dos serv'!A:I,4,FALSE)</f>
        <v>m²</v>
      </c>
      <c r="E517" s="37">
        <v>36</v>
      </c>
      <c r="F517" s="37">
        <f>ROUNDUP(E517*0.1,2)</f>
        <v>3.6</v>
      </c>
      <c r="G517" s="38">
        <f>SUMIF('Composição dos serv'!A:A,'PESM Itutinga Piloes pt1'!B517,'Composição dos serv'!I:I)</f>
        <v>0</v>
      </c>
      <c r="H517" s="38">
        <f t="shared" si="139"/>
        <v>0</v>
      </c>
      <c r="I517" s="24"/>
      <c r="J517" s="24"/>
      <c r="K517" s="39">
        <f>SUMIF('Composição dos serv'!A:A,B517,'Composição dos serv'!K:K)</f>
        <v>0.04</v>
      </c>
      <c r="L517" s="40">
        <f t="shared" si="136"/>
        <v>2</v>
      </c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</row>
    <row r="518" spans="1:23" ht="25.5" customHeight="1">
      <c r="A518" s="33" t="str">
        <f>CONCATENATE(A503,".4")</f>
        <v>D12.4</v>
      </c>
      <c r="B518" s="33" t="s">
        <v>133</v>
      </c>
      <c r="C518" s="34" t="str">
        <f>VLOOKUP(B518,'Composição dos serv'!A:I,3,FALSE)</f>
        <v>PAREDES</v>
      </c>
      <c r="D518" s="35"/>
      <c r="E518" s="35"/>
      <c r="F518" s="35"/>
      <c r="G518" s="35"/>
      <c r="H518" s="36"/>
      <c r="I518" s="24"/>
      <c r="J518" s="24"/>
      <c r="K518" s="39">
        <f>SUMIF('Composição dos serv'!A:A,B518,'Composição dos serv'!K:K)</f>
        <v>0</v>
      </c>
      <c r="L518" s="40">
        <f t="shared" si="136"/>
        <v>0</v>
      </c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</row>
    <row r="519" spans="1:23" ht="25.5" customHeight="1">
      <c r="A519" s="26" t="str">
        <f>A518</f>
        <v>D12.4</v>
      </c>
      <c r="B519" s="26" t="s">
        <v>135</v>
      </c>
      <c r="C519" s="37" t="str">
        <f>VLOOKUP(B519,'Composição dos serv'!A:I,3,FALSE)</f>
        <v>Parede em Alvenaria - usar área construida</v>
      </c>
      <c r="D519" s="26" t="str">
        <f>VLOOKUP(B519,'Composição dos serv'!A:I,4,FALSE)</f>
        <v>m²</v>
      </c>
      <c r="E519" s="49">
        <v>30</v>
      </c>
      <c r="F519" s="37">
        <f>ROUNDUP(E519*0.8,2)</f>
        <v>24</v>
      </c>
      <c r="G519" s="38">
        <f>SUMIF('Composição dos serv'!A:A,B519,'Composição dos serv'!I:I)</f>
        <v>0</v>
      </c>
      <c r="H519" s="38">
        <f t="shared" ref="H519:H521" si="140">E519*G519</f>
        <v>0</v>
      </c>
      <c r="I519" s="24"/>
      <c r="J519" s="24"/>
      <c r="K519" s="39">
        <f>SUMIF('Composição dos serv'!A:A,B519,'Composição dos serv'!K:K)</f>
        <v>0.15000000000000002</v>
      </c>
      <c r="L519" s="40">
        <f t="shared" si="136"/>
        <v>5</v>
      </c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</row>
    <row r="520" spans="1:23" ht="25.5" customHeight="1">
      <c r="A520" s="26" t="str">
        <f>A518</f>
        <v>D12.4</v>
      </c>
      <c r="B520" s="26" t="s">
        <v>143</v>
      </c>
      <c r="C520" s="37" t="str">
        <f>VLOOKUP(B520,'Composição dos serv'!A:I,3,FALSE)</f>
        <v>Parede em Madeirite - Chapas de madeira compensada ou aglomerada - área construída</v>
      </c>
      <c r="D520" s="26" t="str">
        <f>VLOOKUP(B520,'Composição dos serv'!A:I,4,FALSE)</f>
        <v>m²</v>
      </c>
      <c r="E520" s="37">
        <v>30</v>
      </c>
      <c r="F520" s="37">
        <f>ROUNDUP(E520*0.21,2)</f>
        <v>6.3</v>
      </c>
      <c r="G520" s="38">
        <f>SUMIF('Composição dos serv'!A:A,B520,'Composição dos serv'!I:I)</f>
        <v>0</v>
      </c>
      <c r="H520" s="38">
        <f t="shared" si="140"/>
        <v>0</v>
      </c>
      <c r="I520" s="24"/>
      <c r="J520" s="24"/>
      <c r="K520" s="39">
        <f>SUMIF('Composição dos serv'!A:A,B520,'Composição dos serv'!K:K)</f>
        <v>0.15000000000000002</v>
      </c>
      <c r="L520" s="40">
        <f t="shared" si="136"/>
        <v>5</v>
      </c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</row>
    <row r="521" spans="1:23" ht="25.5" hidden="1" customHeight="1">
      <c r="A521" s="26" t="str">
        <f>A518</f>
        <v>D12.4</v>
      </c>
      <c r="B521" s="26" t="s">
        <v>145</v>
      </c>
      <c r="C521" s="37" t="str">
        <f>VLOOKUP(B521,'Composição dos serv'!A:I,3,FALSE)</f>
        <v>Parede em Lambril de madeira - área construída</v>
      </c>
      <c r="D521" s="26" t="str">
        <f>VLOOKUP(B521,'Composição dos serv'!A:I,4,FALSE)</f>
        <v>m²</v>
      </c>
      <c r="E521" s="37"/>
      <c r="F521" s="37">
        <f>ROUNDUP(E521*4*0.12,2)</f>
        <v>0</v>
      </c>
      <c r="G521" s="38">
        <f>SUMIF('Composição dos serv'!A:A,B521,'Composição dos serv'!I:I)</f>
        <v>0</v>
      </c>
      <c r="H521" s="38">
        <f t="shared" si="140"/>
        <v>0</v>
      </c>
      <c r="I521" s="24"/>
      <c r="J521" s="24"/>
      <c r="K521" s="39">
        <f>SUMIF('Composição dos serv'!A:A,B521,'Composição dos serv'!K:K)</f>
        <v>0.35000000000000009</v>
      </c>
      <c r="L521" s="40">
        <f t="shared" si="136"/>
        <v>0</v>
      </c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</row>
    <row r="522" spans="1:23" ht="25.5" customHeight="1">
      <c r="A522" s="33" t="str">
        <f>CONCATENATE(A503,".5")</f>
        <v>D12.5</v>
      </c>
      <c r="B522" s="33" t="s">
        <v>153</v>
      </c>
      <c r="C522" s="34" t="str">
        <f>VLOOKUP(B522,'Composição dos serv'!A:I,3,FALSE)</f>
        <v>PISO E FUNDAÇÃO</v>
      </c>
      <c r="D522" s="35"/>
      <c r="E522" s="35"/>
      <c r="F522" s="35"/>
      <c r="G522" s="35"/>
      <c r="H522" s="36"/>
      <c r="I522" s="24"/>
      <c r="J522" s="24"/>
      <c r="K522" s="39">
        <f>SUMIF('Composição dos serv'!A:A,B522,'Composição dos serv'!K:K)</f>
        <v>0</v>
      </c>
      <c r="L522" s="40">
        <f t="shared" si="136"/>
        <v>0</v>
      </c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</row>
    <row r="523" spans="1:23" ht="25.5" hidden="1" customHeight="1">
      <c r="A523" s="26" t="str">
        <f>A522</f>
        <v>D12.5</v>
      </c>
      <c r="B523" s="26" t="s">
        <v>155</v>
      </c>
      <c r="C523" s="37" t="str">
        <f>VLOOKUP(B523,'Composição dos serv'!A:I,3,FALSE)</f>
        <v>Piso da edificação com fundação</v>
      </c>
      <c r="D523" s="26" t="str">
        <f>VLOOKUP(B523,'Composição dos serv'!A:I,4,FALSE)</f>
        <v>m²</v>
      </c>
      <c r="E523" s="37"/>
      <c r="F523" s="37">
        <f>ROUNDUP(E523*0.24,2)</f>
        <v>0</v>
      </c>
      <c r="G523" s="38">
        <f>SUMIF('Composição dos serv'!A:A,B523,'Composição dos serv'!I:I)</f>
        <v>0</v>
      </c>
      <c r="H523" s="38">
        <f>E523*G523</f>
        <v>0</v>
      </c>
      <c r="I523" s="24"/>
      <c r="J523" s="24"/>
      <c r="K523" s="39">
        <f>SUMIF('Composição dos serv'!A:A,B523,'Composição dos serv'!K:K)</f>
        <v>0.17</v>
      </c>
      <c r="L523" s="40">
        <f t="shared" si="136"/>
        <v>0</v>
      </c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</row>
    <row r="524" spans="1:23" ht="25.5" customHeight="1">
      <c r="A524" s="33" t="str">
        <f>CONCATENATE(A503,".6")</f>
        <v>D12.6</v>
      </c>
      <c r="B524" s="33" t="s">
        <v>161</v>
      </c>
      <c r="C524" s="48" t="str">
        <f>VLOOKUP(B524,'Composição dos serv'!A:I,3,FALSE)</f>
        <v>ESTRUTURAS DIVERSAS</v>
      </c>
      <c r="D524" s="48"/>
      <c r="E524" s="48"/>
      <c r="F524" s="48"/>
      <c r="G524" s="48"/>
      <c r="H524" s="48"/>
      <c r="I524" s="24"/>
      <c r="J524" s="24"/>
      <c r="K524" s="39">
        <f>SUMIF('Composição dos serv'!A:A,B524,'Composição dos serv'!K:K)</f>
        <v>0</v>
      </c>
      <c r="L524" s="40">
        <f t="shared" si="136"/>
        <v>0</v>
      </c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</row>
    <row r="525" spans="1:23" ht="25.5" hidden="1" customHeight="1">
      <c r="A525" s="26" t="str">
        <f>A524</f>
        <v>D12.6</v>
      </c>
      <c r="B525" s="26" t="s">
        <v>163</v>
      </c>
      <c r="C525" s="37" t="str">
        <f>VLOOKUP(B525,'Composição dos serv'!A:I,3,FALSE)</f>
        <v>Escada em concreto com corrimão</v>
      </c>
      <c r="D525" s="26" t="str">
        <f>VLOOKUP(B525,'Composição dos serv'!A:I,4,FALSE)</f>
        <v>m</v>
      </c>
      <c r="E525" s="49"/>
      <c r="F525" s="37">
        <f>ROUNDUP(E525*1.2*0.25,2)</f>
        <v>0</v>
      </c>
      <c r="G525" s="38">
        <f>SUMIF('Composição dos serv'!A:A,'PESM Itutinga Piloes pt1'!B525,'Composição dos serv'!I:I)</f>
        <v>0</v>
      </c>
      <c r="H525" s="38">
        <f t="shared" ref="H525:H528" si="141">E525*G525</f>
        <v>0</v>
      </c>
      <c r="I525" s="24"/>
      <c r="J525" s="24"/>
      <c r="K525" s="39">
        <f>SUMIF('Composição dos serv'!A:A,B525,'Composição dos serv'!K:K)</f>
        <v>0.39</v>
      </c>
      <c r="L525" s="40">
        <f t="shared" si="136"/>
        <v>0</v>
      </c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</row>
    <row r="526" spans="1:23" ht="25.5" customHeight="1">
      <c r="A526" s="26" t="str">
        <f>A524</f>
        <v>D12.6</v>
      </c>
      <c r="B526" s="26" t="s">
        <v>169</v>
      </c>
      <c r="C526" s="37" t="str">
        <f>VLOOKUP(B526,'Composição dos serv'!A:I,3,FALSE)</f>
        <v>Entrada de Energia - medidor</v>
      </c>
      <c r="D526" s="26" t="str">
        <f>VLOOKUP(B526,'Composição dos serv'!A:I,4,FALSE)</f>
        <v>un</v>
      </c>
      <c r="E526" s="37">
        <v>1</v>
      </c>
      <c r="F526" s="37">
        <f>ROUNDUP(E526*(3.2+(((3.1415*0.4^2)/4)*6)),2)</f>
        <v>3.96</v>
      </c>
      <c r="G526" s="38">
        <f>SUMIF('Composição dos serv'!A:A,'PESM Itutinga Piloes pt1'!B526,'Composição dos serv'!I:I)</f>
        <v>0</v>
      </c>
      <c r="H526" s="38">
        <f t="shared" si="141"/>
        <v>0</v>
      </c>
      <c r="I526" s="24"/>
      <c r="J526" s="24"/>
      <c r="K526" s="39">
        <f>SUMIF('Composição dos serv'!A:A,B526,'Composição dos serv'!K:K)</f>
        <v>1.7600000000000002</v>
      </c>
      <c r="L526" s="40">
        <f t="shared" si="136"/>
        <v>2</v>
      </c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</row>
    <row r="527" spans="1:23" ht="25.5" customHeight="1">
      <c r="A527" s="26" t="str">
        <f>A524</f>
        <v>D12.6</v>
      </c>
      <c r="B527" s="26" t="s">
        <v>183</v>
      </c>
      <c r="C527" s="37" t="str">
        <f>VLOOKUP(B527,'Composição dos serv'!A:I,3,FALSE)</f>
        <v>Hidrômetro com abrigo</v>
      </c>
      <c r="D527" s="26" t="str">
        <f>VLOOKUP(B527,'Composição dos serv'!A:I,4,FALSE)</f>
        <v>un</v>
      </c>
      <c r="E527" s="37">
        <v>1</v>
      </c>
      <c r="F527" s="37">
        <f>ROUNDUP(E527*(1.7+0.1),2)</f>
        <v>1.8</v>
      </c>
      <c r="G527" s="38">
        <f>SUMIF('Composição dos serv'!A:A,'PESM Itutinga Piloes pt1'!B527,'Composição dos serv'!I:I)</f>
        <v>0</v>
      </c>
      <c r="H527" s="38">
        <f t="shared" si="141"/>
        <v>0</v>
      </c>
      <c r="I527" s="24"/>
      <c r="J527" s="24"/>
      <c r="K527" s="39">
        <f>SUMIF('Composição dos serv'!A:A,B527,'Composição dos serv'!K:K)</f>
        <v>0.44000000000000006</v>
      </c>
      <c r="L527" s="40">
        <f t="shared" si="136"/>
        <v>1</v>
      </c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</row>
    <row r="528" spans="1:23" ht="25.5" customHeight="1">
      <c r="A528" s="26" t="str">
        <f>A526</f>
        <v>D12.6</v>
      </c>
      <c r="B528" s="26" t="s">
        <v>191</v>
      </c>
      <c r="C528" s="37" t="str">
        <f>VLOOKUP(B528,'Composição dos serv'!A:I,3,FALSE)</f>
        <v>Aterro de Fossa com retirada de tampa</v>
      </c>
      <c r="D528" s="26" t="str">
        <f>VLOOKUP(B528,'Composição dos serv'!A:I,4,FALSE)</f>
        <v>un</v>
      </c>
      <c r="E528" s="37">
        <v>1</v>
      </c>
      <c r="F528" s="37">
        <f>ROUNDUP(E528*(0.4),2)</f>
        <v>0.4</v>
      </c>
      <c r="G528" s="38">
        <f>SUMIF('Composição dos serv'!A:A,'PESM Itutinga Piloes pt1'!B528,'Composição dos serv'!I:I)</f>
        <v>0</v>
      </c>
      <c r="H528" s="38">
        <f t="shared" si="141"/>
        <v>0</v>
      </c>
      <c r="I528" s="24"/>
      <c r="J528" s="24"/>
      <c r="K528" s="39">
        <f>SUMIF('Composição dos serv'!A:A,B528,'Composição dos serv'!K:K)</f>
        <v>0.85000000000000009</v>
      </c>
      <c r="L528" s="40">
        <f t="shared" si="136"/>
        <v>1</v>
      </c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</row>
    <row r="529" spans="1:26" ht="25.5" customHeight="1">
      <c r="A529" s="33" t="str">
        <f>CONCATENATE(A503,".7")</f>
        <v>D12.7</v>
      </c>
      <c r="B529" s="33" t="s">
        <v>195</v>
      </c>
      <c r="C529" s="48" t="str">
        <f>VLOOKUP(B529,'Composição dos serv'!A:I,3,FALSE)</f>
        <v>ACABAMENTOS DIVERSOS e OUTROS</v>
      </c>
      <c r="D529" s="48"/>
      <c r="E529" s="48"/>
      <c r="F529" s="48"/>
      <c r="G529" s="48"/>
      <c r="H529" s="48"/>
      <c r="I529" s="24"/>
      <c r="J529" s="24"/>
      <c r="K529" s="39">
        <f>SUMIF('Composição dos serv'!A:A,B529,'Composição dos serv'!K:K)</f>
        <v>0</v>
      </c>
      <c r="L529" s="40">
        <f t="shared" si="136"/>
        <v>0</v>
      </c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spans="1:26" ht="25.5" customHeight="1">
      <c r="A530" s="26" t="str">
        <f>A529</f>
        <v>D12.7</v>
      </c>
      <c r="B530" s="50" t="s">
        <v>197</v>
      </c>
      <c r="C530" s="49" t="str">
        <f>VLOOKUP(B530,'Composição dos serv'!A:I,3,FALSE)</f>
        <v>Remoção de aparelhos sanitarios - por banheiro</v>
      </c>
      <c r="D530" s="50" t="str">
        <f>VLOOKUP(B530,'Composição dos serv'!A:I,4,FALSE)</f>
        <v>unid</v>
      </c>
      <c r="E530" s="49">
        <v>1</v>
      </c>
      <c r="F530" s="37">
        <f t="shared" ref="F530:F532" si="142">ROUNDUP(E530*1,2)</f>
        <v>1</v>
      </c>
      <c r="G530" s="51">
        <f>SUMIF('Composição dos serv'!A:A,B530,'Composição dos serv'!I:I)</f>
        <v>0</v>
      </c>
      <c r="H530" s="51">
        <f t="shared" ref="H530:H536" si="143">E530*G530</f>
        <v>0</v>
      </c>
      <c r="I530" s="24"/>
      <c r="J530" s="24"/>
      <c r="K530" s="39">
        <f>SUMIF('Composição dos serv'!A:A,B530,'Composição dos serv'!K:K)</f>
        <v>0.19</v>
      </c>
      <c r="L530" s="40">
        <f t="shared" si="136"/>
        <v>1</v>
      </c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</row>
    <row r="531" spans="1:26" ht="25.5" customHeight="1">
      <c r="A531" s="26" t="str">
        <f>A529</f>
        <v>D12.7</v>
      </c>
      <c r="B531" s="50" t="s">
        <v>209</v>
      </c>
      <c r="C531" s="37" t="str">
        <f>VLOOKUP(B531,'Composição dos serv'!A:I,3,FALSE)</f>
        <v>Remoção de aparelhos sanitarios - Cozinha e Área de Serviço</v>
      </c>
      <c r="D531" s="26" t="str">
        <f>VLOOKUP(B531,'Composição dos serv'!A:I,4,FALSE)</f>
        <v>unid</v>
      </c>
      <c r="E531" s="37">
        <v>1</v>
      </c>
      <c r="F531" s="37">
        <f t="shared" si="142"/>
        <v>1</v>
      </c>
      <c r="G531" s="51">
        <f>SUMIF('Composição dos serv'!A:A,B531,'Composição dos serv'!I:I)</f>
        <v>0</v>
      </c>
      <c r="H531" s="38">
        <f t="shared" si="143"/>
        <v>0</v>
      </c>
      <c r="I531" s="24"/>
      <c r="J531" s="24"/>
      <c r="K531" s="39">
        <f>SUMIF('Composição dos serv'!A:A,B531,'Composição dos serv'!K:K)</f>
        <v>0.21</v>
      </c>
      <c r="L531" s="40">
        <f t="shared" si="136"/>
        <v>1</v>
      </c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</row>
    <row r="532" spans="1:26" ht="25.5" customHeight="1">
      <c r="A532" s="26" t="str">
        <f>A529</f>
        <v>D12.7</v>
      </c>
      <c r="B532" s="50" t="s">
        <v>215</v>
      </c>
      <c r="C532" s="37" t="str">
        <f>VLOOKUP(B532,'Composição dos serv'!A:I,3,FALSE)</f>
        <v>Remoção de caixa d'agua</v>
      </c>
      <c r="D532" s="26" t="str">
        <f>VLOOKUP(B532,'Composição dos serv'!A:I,4,FALSE)</f>
        <v>unid</v>
      </c>
      <c r="E532" s="37">
        <v>1</v>
      </c>
      <c r="F532" s="37">
        <f t="shared" si="142"/>
        <v>1</v>
      </c>
      <c r="G532" s="51">
        <f>SUMIF('Composição dos serv'!A:A,B532,'Composição dos serv'!I:I)</f>
        <v>0</v>
      </c>
      <c r="H532" s="38">
        <f t="shared" si="143"/>
        <v>0</v>
      </c>
      <c r="I532" s="24"/>
      <c r="J532" s="24"/>
      <c r="K532" s="39">
        <f>SUMIF('Composição dos serv'!A:A,B532,'Composição dos serv'!K:K)</f>
        <v>0.42000000000000004</v>
      </c>
      <c r="L532" s="40">
        <f t="shared" si="136"/>
        <v>1</v>
      </c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</row>
    <row r="533" spans="1:26" ht="25.5" hidden="1" customHeight="1">
      <c r="A533" s="26" t="str">
        <f>A529</f>
        <v>D12.7</v>
      </c>
      <c r="B533" s="50" t="s">
        <v>219</v>
      </c>
      <c r="C533" s="37" t="str">
        <f>VLOOKUP(B533,'Composição dos serv'!A:I,3,FALSE)</f>
        <v>Remoção do Sistema de Para raios - área do telhado</v>
      </c>
      <c r="D533" s="26" t="str">
        <f>VLOOKUP(B533,'Composição dos serv'!A:I,4,FALSE)</f>
        <v>m²</v>
      </c>
      <c r="E533" s="37"/>
      <c r="F533" s="37">
        <f>ROUNDUP(E533/60,2)</f>
        <v>0</v>
      </c>
      <c r="G533" s="51">
        <f>SUMIF('Composição dos serv'!A:A,B533,'Composição dos serv'!I:I)</f>
        <v>0</v>
      </c>
      <c r="H533" s="38">
        <f t="shared" si="143"/>
        <v>0</v>
      </c>
      <c r="I533" s="24"/>
      <c r="J533" s="24"/>
      <c r="K533" s="39">
        <f>SUMIF('Composição dos serv'!A:A,B533,'Composição dos serv'!K:K)</f>
        <v>0.05</v>
      </c>
      <c r="L533" s="40">
        <f t="shared" si="136"/>
        <v>0</v>
      </c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</row>
    <row r="534" spans="1:26" ht="25.5" customHeight="1">
      <c r="A534" s="26" t="str">
        <f>A529</f>
        <v>D12.7</v>
      </c>
      <c r="B534" s="50" t="s">
        <v>227</v>
      </c>
      <c r="C534" s="37" t="str">
        <f>VLOOKUP(B534,'Composição dos serv'!A:I,3,FALSE)</f>
        <v>Janelas</v>
      </c>
      <c r="D534" s="26" t="str">
        <f>VLOOKUP(B534,'Composição dos serv'!A:I,4,FALSE)</f>
        <v>un</v>
      </c>
      <c r="E534" s="37">
        <v>11</v>
      </c>
      <c r="F534" s="37">
        <f>ROUNDUP(E534*1.5*1.2*0.2,2)</f>
        <v>3.96</v>
      </c>
      <c r="G534" s="51">
        <f>SUMIF('Composição dos serv'!A:A,B534,'Composição dos serv'!I:I)</f>
        <v>0</v>
      </c>
      <c r="H534" s="38">
        <f t="shared" si="143"/>
        <v>0</v>
      </c>
      <c r="I534" s="24"/>
      <c r="J534" s="24"/>
      <c r="K534" s="39">
        <f>SUMIF('Composição dos serv'!A:A,B534,'Composição dos serv'!K:K)</f>
        <v>0</v>
      </c>
      <c r="L534" s="40">
        <f t="shared" si="136"/>
        <v>0</v>
      </c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</row>
    <row r="535" spans="1:26" ht="25.5" customHeight="1">
      <c r="A535" s="26" t="str">
        <f>A529</f>
        <v>D12.7</v>
      </c>
      <c r="B535" s="50" t="s">
        <v>234</v>
      </c>
      <c r="C535" s="37" t="str">
        <f>VLOOKUP(B535,'Composição dos serv'!A:I,3,FALSE)</f>
        <v>Portas</v>
      </c>
      <c r="D535" s="26" t="str">
        <f>VLOOKUP(B535,'Composição dos serv'!A:I,4,FALSE)</f>
        <v>un</v>
      </c>
      <c r="E535" s="37">
        <v>8</v>
      </c>
      <c r="F535" s="37">
        <f>ROUNDUP(E535*2.1*0.9*0.2,2)</f>
        <v>3.03</v>
      </c>
      <c r="G535" s="51">
        <f>SUMIF('Composição dos serv'!A:A,B535,'Composição dos serv'!I:I)</f>
        <v>0</v>
      </c>
      <c r="H535" s="38">
        <f t="shared" si="143"/>
        <v>0</v>
      </c>
      <c r="I535" s="24"/>
      <c r="J535" s="24"/>
      <c r="K535" s="39">
        <f>SUMIF('Composição dos serv'!A:A,B535,'Composição dos serv'!K:K)</f>
        <v>0</v>
      </c>
      <c r="L535" s="40">
        <f t="shared" si="136"/>
        <v>0</v>
      </c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</row>
    <row r="536" spans="1:26" ht="25.5" hidden="1" customHeight="1">
      <c r="A536" s="26" t="str">
        <f>A529</f>
        <v>D12.7</v>
      </c>
      <c r="B536" s="50" t="s">
        <v>236</v>
      </c>
      <c r="C536" s="37" t="str">
        <f>VLOOKUP(B536,'Composição dos serv'!A:I,3,FALSE)</f>
        <v>Guarda corpo de metal</v>
      </c>
      <c r="D536" s="26" t="str">
        <f>VLOOKUP(B536,'Composição dos serv'!A:I,4,FALSE)</f>
        <v>m</v>
      </c>
      <c r="E536" s="37"/>
      <c r="F536" s="37">
        <f>ROUNDUP(E536*1.7*0.05,2)</f>
        <v>0</v>
      </c>
      <c r="G536" s="51">
        <f>SUMIF('Composição dos serv'!A:A,B536,'Composição dos serv'!I:I)</f>
        <v>0</v>
      </c>
      <c r="H536" s="38">
        <f t="shared" si="143"/>
        <v>0</v>
      </c>
      <c r="I536" s="24"/>
      <c r="J536" s="24"/>
      <c r="K536" s="39">
        <f>SUMIF('Composição dos serv'!A:A,B536,'Composição dos serv'!K:K)</f>
        <v>0</v>
      </c>
      <c r="L536" s="40">
        <f t="shared" si="136"/>
        <v>0</v>
      </c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</row>
    <row r="537" spans="1:26" ht="25.5" customHeight="1">
      <c r="A537" s="33" t="str">
        <f>CONCATENATE(A503,".8")</f>
        <v>D12.8</v>
      </c>
      <c r="B537" s="33" t="s">
        <v>240</v>
      </c>
      <c r="C537" s="48" t="str">
        <f>VLOOKUP(B537,'Composição dos serv'!A:I,3,FALSE)</f>
        <v>ENTULHO</v>
      </c>
      <c r="D537" s="48"/>
      <c r="E537" s="48"/>
      <c r="F537" s="48"/>
      <c r="G537" s="48"/>
      <c r="H537" s="48"/>
      <c r="I537" s="24"/>
      <c r="J537" s="24"/>
      <c r="K537" s="39">
        <f>SUMIF('Composição dos serv'!A:A,B537,'Composição dos serv'!K:K)</f>
        <v>0</v>
      </c>
      <c r="L537" s="40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</row>
    <row r="538" spans="1:26" ht="25.5" hidden="1" customHeight="1">
      <c r="A538" s="26" t="str">
        <f>A537</f>
        <v>D12.8</v>
      </c>
      <c r="B538" s="50" t="s">
        <v>242</v>
      </c>
      <c r="C538" s="49" t="str">
        <f>VLOOKUP(B538,'Composição dos serv'!A:I,3,FALSE)</f>
        <v>Transporte e espalhamento Manual do entulho a ser reutilizado</v>
      </c>
      <c r="D538" s="50" t="s">
        <v>291</v>
      </c>
      <c r="E538" s="49"/>
      <c r="F538" s="52">
        <f>IF(E538=1,ROUNDUP((IF(E506&lt;&gt;"",F506,0)+IF(E507&lt;&gt;"",F507,0)+IF(E509&lt;&gt;"",F509,0)+IF(E510&lt;&gt;"",F510*0.34,0)+IF(E513&lt;&gt;"",F513*0.43,0)+IF(E516&lt;&gt;"",F516*0.8,0)+IF(E519&lt;&gt;"",F519*(0.78),0)+IF(E523&lt;&gt;"",F523*0.98,0)+IF(E525&lt;&gt;"",F525*0.91,0)+IF(E526&lt;&gt;"",F526*0.26,0)+IF(E527&lt;&gt;"",F527*0.24,0)+IF(E528&lt;&gt;"",F528,0)),2),0)</f>
        <v>0</v>
      </c>
      <c r="G538" s="51">
        <f>SUMIF('Composição dos serv'!A:A,B538,'Composição dos serv'!I:I)</f>
        <v>0</v>
      </c>
      <c r="H538" s="51">
        <f t="shared" ref="H538:H539" si="144">F538*G538</f>
        <v>0</v>
      </c>
      <c r="I538" s="24"/>
      <c r="J538" s="24"/>
      <c r="K538" s="39">
        <f>SUMIF('Composição dos serv'!A:A,B538,'Composição dos serv'!K:K)</f>
        <v>0.15000000000000002</v>
      </c>
      <c r="L538" s="40">
        <f t="shared" ref="L538:L541" si="145">ROUNDUP(K538*F538,0)</f>
        <v>0</v>
      </c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</row>
    <row r="539" spans="1:26" ht="25.5" hidden="1" customHeight="1">
      <c r="A539" s="26" t="str">
        <f>A537</f>
        <v>D12.8</v>
      </c>
      <c r="B539" s="50" t="s">
        <v>246</v>
      </c>
      <c r="C539" s="49" t="str">
        <f>VLOOKUP(B539,'Composição dos serv'!A:I,3,FALSE)</f>
        <v>Remoção e Transporte Mecanizado do entulho a ser reutilizado</v>
      </c>
      <c r="D539" s="50" t="s">
        <v>291</v>
      </c>
      <c r="E539" s="49"/>
      <c r="F539" s="52">
        <f>IF(E539=1,SUM(F506:F536)-H543,0)</f>
        <v>0</v>
      </c>
      <c r="G539" s="51">
        <f>SUMIF('Composição dos serv'!A:A,B539,'Composição dos serv'!I:I)</f>
        <v>0</v>
      </c>
      <c r="H539" s="51">
        <f t="shared" si="144"/>
        <v>0</v>
      </c>
      <c r="I539" s="24"/>
      <c r="J539" s="24"/>
      <c r="K539" s="39">
        <f>SUMIF('Composição dos serv'!A:A,B539,'Composição dos serv'!K:K)</f>
        <v>0.02</v>
      </c>
      <c r="L539" s="40">
        <f t="shared" si="145"/>
        <v>0</v>
      </c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</row>
    <row r="540" spans="1:26" ht="25.5" customHeight="1">
      <c r="A540" s="26" t="str">
        <f>A537</f>
        <v>D12.8</v>
      </c>
      <c r="B540" s="50" t="s">
        <v>252</v>
      </c>
      <c r="C540" s="49" t="str">
        <f>VLOOKUP(B540,'Composição dos serv'!A:I,3,FALSE)</f>
        <v>Remoção do entulho com caçamba</v>
      </c>
      <c r="D540" s="50" t="s">
        <v>291</v>
      </c>
      <c r="E540" s="49">
        <v>1</v>
      </c>
      <c r="F540" s="52">
        <f>IF(E540=1,SUM(F506:F536),0)</f>
        <v>75.850000000000009</v>
      </c>
      <c r="G540" s="51">
        <f>SUMIF('Composição dos serv'!A:A,B540,'Composição dos serv'!I:I)</f>
        <v>0</v>
      </c>
      <c r="H540" s="51">
        <f>IF(E540&gt;1,"OPÇÃO ERRADA",F540*G540)+IF(G543=1,H543*G540,0)</f>
        <v>0</v>
      </c>
      <c r="I540" s="24"/>
      <c r="J540" s="24"/>
      <c r="K540" s="39">
        <f>SUMIF('Composição dos serv'!A:A,B540,'Composição dos serv'!K:K)</f>
        <v>0.02</v>
      </c>
      <c r="L540" s="40">
        <f t="shared" si="145"/>
        <v>2</v>
      </c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</row>
    <row r="541" spans="1:26" ht="25.5" hidden="1" customHeight="1">
      <c r="A541" s="26" t="str">
        <f>A537</f>
        <v>D12.8</v>
      </c>
      <c r="B541" s="50" t="s">
        <v>256</v>
      </c>
      <c r="C541" s="49" t="str">
        <f>VLOOKUP(B541,'Composição dos serv'!A:I,3,FALSE)</f>
        <v>Remoção e Transporte Mecanizado do entulho para bota fora</v>
      </c>
      <c r="D541" s="50" t="s">
        <v>291</v>
      </c>
      <c r="E541" s="49"/>
      <c r="F541" s="52">
        <f>IF(E541=1,SUM(F506:F536),0)</f>
        <v>0</v>
      </c>
      <c r="G541" s="51">
        <f>SUMIF('Composição dos serv'!A:A,B541,'Composição dos serv'!I:I)</f>
        <v>0</v>
      </c>
      <c r="H541" s="51">
        <f>IF(E541&gt;1,"OPÇÃO ERRADA",F541*G541)+IF(G543=2,H543*G541,0)</f>
        <v>0</v>
      </c>
      <c r="I541" s="24"/>
      <c r="J541" s="24"/>
      <c r="K541" s="39">
        <f>SUMIF('Composição dos serv'!A:A,B541,'Composição dos serv'!K:K)</f>
        <v>7.9999999999999988E-2</v>
      </c>
      <c r="L541" s="40">
        <f t="shared" si="145"/>
        <v>0</v>
      </c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</row>
    <row r="542" spans="1:26" ht="25.5" customHeight="1">
      <c r="A542" s="26" t="str">
        <f>A537</f>
        <v>D12.8</v>
      </c>
      <c r="B542" s="50" t="s">
        <v>264</v>
      </c>
      <c r="C542" s="49" t="str">
        <f>VLOOKUP(B542,'Composição dos serv'!A:I,3,FALSE)</f>
        <v>Remoção de telhas em cimento amianto</v>
      </c>
      <c r="D542" s="26" t="str">
        <f>VLOOKUP(B542,'Composição dos serv'!A:I,4,FALSE)</f>
        <v>m²</v>
      </c>
      <c r="E542" s="49">
        <f>SUM(E514:E515)</f>
        <v>30</v>
      </c>
      <c r="F542" s="52"/>
      <c r="G542" s="51">
        <f>SUMIF('Composição dos serv'!A:A,B542,'Composição dos serv'!I:I)</f>
        <v>0</v>
      </c>
      <c r="H542" s="51">
        <f>G542*E542</f>
        <v>0</v>
      </c>
      <c r="I542" s="24"/>
      <c r="J542" s="24"/>
      <c r="K542" s="39"/>
      <c r="L542" s="40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</row>
    <row r="543" spans="1:26" ht="25.5" customHeight="1">
      <c r="A543" s="53"/>
      <c r="B543" s="53"/>
      <c r="C543" s="37" t="str">
        <f>IF(E540&lt;&gt;1,IF(E541&lt;&gt;1,IF(H543&lt;&gt;0,"Há Material não reutilizavel qual a destinação para ele?",""),""),"")</f>
        <v/>
      </c>
      <c r="D543" s="168" t="str">
        <f>IF(E540&lt;&gt;1,IF(E541&lt;&gt;1,IF(H543&lt;&gt;0,"Caçamba = 1; Aterro = 2",""),""),"")</f>
        <v/>
      </c>
      <c r="E543" s="169"/>
      <c r="F543" s="170"/>
      <c r="G543" s="37">
        <v>1</v>
      </c>
      <c r="H543" s="54">
        <f>IF(E540=1,0,IF(E541=1,0,ROUNDUP((IF(E510&lt;&gt;"",F510*0.66,0)+IF(E513&lt;&gt;"",F513*0.57,0)+IF(E515&lt;&gt;"",F515,0)+IF(E516&lt;&gt;"",F516*0.2,0)+IF(E517&lt;&gt;"",F517,0)+IF(E519&lt;&gt;"",F519*0.22,0)+IF(E520&lt;&gt;"",F520,0)+IF(E521&lt;&gt;"",F521,0)+IF(E523&lt;&gt;"",F523*0.02,0)+IF(E525&lt;&gt;"",F525*0.09,0)+IF(E526&lt;&gt;"",F526*0.74,0)+IF(E527&lt;&gt;"",F527*(1-0.24),0)+IF(E530&lt;&gt;"",F530,0)+IF(E531&lt;&gt;"",F531,0)+IF(E532&lt;&gt;"",F532,0)+IF(E533&lt;&gt;"",F533,0)+IF(E534&lt;&gt;"",F534,0)+IF(E535&lt;&gt;"",F535,0)+IF(E536&lt;&gt;"",F536,0)+IF(E514&lt;&gt;"",F514,0)+IF(E512&lt;&gt;"",F512,0)),2)))</f>
        <v>0</v>
      </c>
      <c r="I543" s="24"/>
      <c r="J543" s="24"/>
      <c r="K543" s="39"/>
      <c r="L543" s="40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</row>
    <row r="544" spans="1:26" ht="25.5" hidden="1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39">
        <f>SUMIF('Composição dos serv'!A:A,'PESM Itutinga Piloes pt1'!B544,'Composição dos serv'!K:K)</f>
        <v>0</v>
      </c>
      <c r="L544" s="40">
        <f>ROUNDUP(K544*E544,0)</f>
        <v>0</v>
      </c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25.5" customHeight="1">
      <c r="A545" s="96" t="str">
        <f>A503</f>
        <v>D12</v>
      </c>
      <c r="B545" s="175" t="str">
        <f>C503</f>
        <v>EDIFICAÇÃO 12 - Gleba D12</v>
      </c>
      <c r="C545" s="169"/>
      <c r="D545" s="176" t="s">
        <v>280</v>
      </c>
      <c r="E545" s="169"/>
      <c r="F545" s="169"/>
      <c r="G545" s="98">
        <f>SUM(H506:H542)</f>
        <v>0</v>
      </c>
      <c r="H545" s="99"/>
      <c r="I545" s="24"/>
      <c r="J545" s="24"/>
      <c r="K545" s="39">
        <f>IF(SUM(L538:L541)&gt;SUM(L506:L536),SUM(L538:L541),SUM(L506:L536))</f>
        <v>28</v>
      </c>
      <c r="L545" s="40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</row>
    <row r="546" spans="1:26" ht="25.5" customHeight="1">
      <c r="A546" s="30"/>
      <c r="B546" s="44"/>
      <c r="C546" s="24"/>
      <c r="D546" s="44"/>
      <c r="E546" s="24"/>
      <c r="F546" s="24"/>
      <c r="G546" s="45"/>
      <c r="H546" s="45"/>
      <c r="I546" s="24"/>
      <c r="J546" s="24"/>
      <c r="K546" s="39">
        <f>SUMIF('Composição dos serv'!A:A,'PESM Itutinga Piloes pt1'!B546,'Composição dos serv'!K:K)</f>
        <v>0</v>
      </c>
      <c r="L546" s="40">
        <f t="shared" ref="L546:L548" si="146">ROUNDUP(K546*E546,0)</f>
        <v>0</v>
      </c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25.5" customHeight="1">
      <c r="A547" s="100" t="s">
        <v>314</v>
      </c>
      <c r="B547" s="100">
        <v>2</v>
      </c>
      <c r="C547" s="101" t="s">
        <v>315</v>
      </c>
      <c r="D547" s="101"/>
      <c r="E547" s="101"/>
      <c r="F547" s="101"/>
      <c r="G547" s="101"/>
      <c r="H547" s="101"/>
      <c r="I547" s="24"/>
      <c r="J547" s="24"/>
      <c r="K547" s="39">
        <f>SUMIF('Composição dos serv'!A:A,'PESM Itutinga Piloes pt1'!B547,'Composição dos serv'!K:K)</f>
        <v>0</v>
      </c>
      <c r="L547" s="40">
        <f t="shared" si="146"/>
        <v>0</v>
      </c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</row>
    <row r="548" spans="1:26" ht="25.5" hidden="1" customHeight="1">
      <c r="A548" s="59"/>
      <c r="B548" s="30"/>
      <c r="C548" s="30"/>
      <c r="D548" s="30"/>
      <c r="E548" s="30"/>
      <c r="F548" s="30"/>
      <c r="G548" s="30"/>
      <c r="H548" s="30"/>
      <c r="I548" s="24"/>
      <c r="J548" s="24"/>
      <c r="K548" s="39">
        <f>SUMIF('Composição dos serv'!A:A,'PESM Itutinga Piloes pt1'!B548,'Composição dos serv'!K:K)</f>
        <v>0</v>
      </c>
      <c r="L548" s="40">
        <f t="shared" si="146"/>
        <v>0</v>
      </c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25.5" customHeight="1">
      <c r="A549" s="33" t="str">
        <f>CONCATENATE(A547,".1")</f>
        <v>D13.1</v>
      </c>
      <c r="B549" s="33" t="s">
        <v>67</v>
      </c>
      <c r="C549" s="48" t="str">
        <f>VLOOKUP(B549,'Composição dos serv'!A:I,3,FALSE)</f>
        <v>DEMOLIÇÃO DE CALÇADAS E/OU CAMINHOS</v>
      </c>
      <c r="D549" s="48"/>
      <c r="E549" s="48"/>
      <c r="F549" s="48"/>
      <c r="G549" s="48"/>
      <c r="H549" s="48"/>
      <c r="I549" s="24"/>
      <c r="J549" s="24"/>
      <c r="K549" s="31"/>
      <c r="L549" s="32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</row>
    <row r="550" spans="1:26" ht="25.5" hidden="1" customHeight="1">
      <c r="A550" s="26" t="str">
        <f>A549</f>
        <v>D13.1</v>
      </c>
      <c r="B550" s="26" t="s">
        <v>69</v>
      </c>
      <c r="C550" s="49" t="str">
        <f>VLOOKUP(B550,'Composição dos serv'!A:I,3,FALSE)</f>
        <v>Demolição de calçada ou caminhos</v>
      </c>
      <c r="D550" s="50" t="str">
        <f>VLOOKUP(B550,'Composição dos serv'!A:I,4,FALSE)</f>
        <v>m²</v>
      </c>
      <c r="E550" s="49"/>
      <c r="F550" s="49">
        <f>ROUNDUP(E550*0.15,2)</f>
        <v>0</v>
      </c>
      <c r="G550" s="51">
        <f>SUMIF('Composição dos serv'!A:A,'PESM Itutinga Piloes pt1'!B550,'Composição dos serv'!I:I)</f>
        <v>0</v>
      </c>
      <c r="H550" s="51">
        <f t="shared" ref="H550:H551" si="147">E550*G550</f>
        <v>0</v>
      </c>
      <c r="I550" s="24"/>
      <c r="J550" s="24"/>
      <c r="K550" s="39">
        <f>SUMIF('Composição dos serv'!A:A,B550,'Composição dos serv'!K:K)</f>
        <v>0.12</v>
      </c>
      <c r="L550" s="40">
        <f t="shared" ref="L550:L580" si="148">ROUNDUP(K550*E550,0)</f>
        <v>0</v>
      </c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</row>
    <row r="551" spans="1:26" ht="25.5" hidden="1" customHeight="1">
      <c r="A551" s="26" t="str">
        <f>A549</f>
        <v>D13.1</v>
      </c>
      <c r="B551" s="26" t="s">
        <v>75</v>
      </c>
      <c r="C551" s="37" t="str">
        <f>VLOOKUP(B551,'Composição dos serv'!A:I,3,FALSE)</f>
        <v>Demolição de via Asfaltada, em paralelepípedo ou intertravados</v>
      </c>
      <c r="D551" s="26" t="str">
        <f>VLOOKUP(B551,'Composição dos serv'!A:I,4,FALSE)</f>
        <v>m²</v>
      </c>
      <c r="E551" s="37"/>
      <c r="F551" s="37">
        <f>ROUNDUP(E551*0.2,2)</f>
        <v>0</v>
      </c>
      <c r="G551" s="38">
        <f>SUMIF('Composição dos serv'!A:A,'PESM Itutinga Piloes pt1'!B551,'Composição dos serv'!I:I)</f>
        <v>0</v>
      </c>
      <c r="H551" s="38">
        <f t="shared" si="147"/>
        <v>0</v>
      </c>
      <c r="I551" s="24"/>
      <c r="J551" s="24"/>
      <c r="K551" s="39">
        <f>SUMIF('Composição dos serv'!A:A,B551,'Composição dos serv'!K:K)</f>
        <v>0.06</v>
      </c>
      <c r="L551" s="40">
        <f t="shared" si="148"/>
        <v>0</v>
      </c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</row>
    <row r="552" spans="1:26" ht="25.5" customHeight="1">
      <c r="A552" s="33" t="str">
        <f>CONCATENATE(A547,".2")</f>
        <v>D13.2</v>
      </c>
      <c r="B552" s="33" t="s">
        <v>85</v>
      </c>
      <c r="C552" s="34" t="str">
        <f>VLOOKUP(B552,'Composição dos serv'!A:I,3,FALSE)</f>
        <v>DEMOLIÇÃO DE MUROS E CERCAS</v>
      </c>
      <c r="D552" s="35"/>
      <c r="E552" s="35"/>
      <c r="F552" s="35"/>
      <c r="G552" s="35"/>
      <c r="H552" s="36"/>
      <c r="I552" s="24"/>
      <c r="J552" s="24"/>
      <c r="K552" s="39">
        <f>SUMIF('Composição dos serv'!A:A,B552,'Composição dos serv'!K:K)</f>
        <v>0</v>
      </c>
      <c r="L552" s="40">
        <f t="shared" si="148"/>
        <v>0</v>
      </c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</row>
    <row r="553" spans="1:26" ht="25.5" hidden="1" customHeight="1">
      <c r="A553" s="26" t="str">
        <f>A552</f>
        <v>D13.2</v>
      </c>
      <c r="B553" s="26" t="s">
        <v>87</v>
      </c>
      <c r="C553" s="37" t="str">
        <f>VLOOKUP(B553,'Composição dos serv'!A:I,3,FALSE)</f>
        <v>Demolição de muro em alvenaria ou alambrados</v>
      </c>
      <c r="D553" s="26" t="str">
        <f>VLOOKUP(B553,'Composição dos serv'!A:I,4,FALSE)</f>
        <v>m</v>
      </c>
      <c r="E553" s="37"/>
      <c r="F553" s="37">
        <f>ROUNDUP(E553*0.2*2.4,2)</f>
        <v>0</v>
      </c>
      <c r="G553" s="38">
        <f>SUMIF('Composição dos serv'!A:A,'PESM Itutinga Piloes pt1'!B553,'Composição dos serv'!I:I)</f>
        <v>0</v>
      </c>
      <c r="H553" s="38">
        <f t="shared" ref="H553:H554" si="149">E553*G553</f>
        <v>0</v>
      </c>
      <c r="I553" s="24"/>
      <c r="J553" s="24"/>
      <c r="K553" s="39">
        <f>SUMIF('Composição dos serv'!A:A,B553,'Composição dos serv'!K:K)</f>
        <v>0.26</v>
      </c>
      <c r="L553" s="40">
        <f t="shared" si="148"/>
        <v>0</v>
      </c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</row>
    <row r="554" spans="1:26" ht="25.5" hidden="1" customHeight="1">
      <c r="A554" s="26" t="str">
        <f>A552</f>
        <v>D13.2</v>
      </c>
      <c r="B554" s="26" t="s">
        <v>93</v>
      </c>
      <c r="C554" s="37" t="str">
        <f>VLOOKUP(B554,'Composição dos serv'!A:I,3,FALSE)</f>
        <v>Demolição de Cercas</v>
      </c>
      <c r="D554" s="26" t="str">
        <f>VLOOKUP(B554,'Composição dos serv'!A:I,4,FALSE)</f>
        <v>m</v>
      </c>
      <c r="E554" s="37"/>
      <c r="F554" s="37">
        <f>ROUNDUP(E554*0.1*1.8,2)</f>
        <v>0</v>
      </c>
      <c r="G554" s="38">
        <f>SUMIF('Composição dos serv'!A:A,'PESM Itutinga Piloes pt1'!B554,'Composição dos serv'!I:I)</f>
        <v>0</v>
      </c>
      <c r="H554" s="38">
        <f t="shared" si="149"/>
        <v>0</v>
      </c>
      <c r="I554" s="24"/>
      <c r="J554" s="24"/>
      <c r="K554" s="39">
        <f>SUMIF('Composição dos serv'!A:A,B554,'Composição dos serv'!K:K)</f>
        <v>0.06</v>
      </c>
      <c r="L554" s="40">
        <f t="shared" si="148"/>
        <v>0</v>
      </c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</row>
    <row r="555" spans="1:26" ht="25.5" customHeight="1">
      <c r="A555" s="33" t="str">
        <f>CONCATENATE(A547,".3")</f>
        <v>D13.3</v>
      </c>
      <c r="B555" s="33" t="s">
        <v>99</v>
      </c>
      <c r="C555" s="48" t="str">
        <f>VLOOKUP(B555,'Composição dos serv'!A:I,3,FALSE)</f>
        <v>COBERTURA</v>
      </c>
      <c r="D555" s="48"/>
      <c r="E555" s="48"/>
      <c r="F555" s="48"/>
      <c r="G555" s="48"/>
      <c r="H555" s="48"/>
      <c r="I555" s="24"/>
      <c r="J555" s="24"/>
      <c r="K555" s="39">
        <f>SUMIF('Composição dos serv'!A:A,B555,'Composição dos serv'!K:K)</f>
        <v>0</v>
      </c>
      <c r="L555" s="40">
        <f t="shared" si="148"/>
        <v>0</v>
      </c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</row>
    <row r="556" spans="1:26" ht="25.5" hidden="1" customHeight="1">
      <c r="A556" s="26" t="str">
        <f t="shared" ref="A556:A561" si="150">A555</f>
        <v>D13.3</v>
      </c>
      <c r="B556" s="26" t="s">
        <v>101</v>
      </c>
      <c r="C556" s="37" t="str">
        <f>VLOOKUP(B556,'Composição dos serv'!A:I,3,FALSE)</f>
        <v>Retirada de Estrutura de madeira sem telhas</v>
      </c>
      <c r="D556" s="26" t="str">
        <f>VLOOKUP(B556,'Composição dos serv'!A:I,4,FALSE)</f>
        <v>m²</v>
      </c>
      <c r="E556" s="37"/>
      <c r="F556" s="37">
        <f>ROUNDUP(E556*0.2,2)</f>
        <v>0</v>
      </c>
      <c r="G556" s="38">
        <f>SUMIF('Composição dos serv'!A:A,'PESM Itutinga Piloes pt1'!B556,'Composição dos serv'!I:I)</f>
        <v>0</v>
      </c>
      <c r="H556" s="38">
        <f t="shared" ref="H556:H561" si="151">E556*G556</f>
        <v>0</v>
      </c>
      <c r="I556" s="24"/>
      <c r="J556" s="24"/>
      <c r="K556" s="39">
        <f>SUMIF('Composição dos serv'!A:A,B556,'Composição dos serv'!K:K)</f>
        <v>0.03</v>
      </c>
      <c r="L556" s="40">
        <f t="shared" si="148"/>
        <v>0</v>
      </c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spans="1:26" ht="25.5" hidden="1" customHeight="1">
      <c r="A557" s="26" t="str">
        <f t="shared" si="150"/>
        <v>D13.3</v>
      </c>
      <c r="B557" s="26" t="s">
        <v>105</v>
      </c>
      <c r="C557" s="37" t="str">
        <f>VLOOKUP(B557,'Composição dos serv'!A:I,3,FALSE)</f>
        <v>Retirada de Telhas de Barro com Estrutura em madeira (tesouras, treliças,...)</v>
      </c>
      <c r="D557" s="26" t="str">
        <f>VLOOKUP(B557,'Composição dos serv'!A:I,4,FALSE)</f>
        <v>m²</v>
      </c>
      <c r="E557" s="37"/>
      <c r="F557" s="37">
        <f>ROUNDUP(E557*0.08+E557*0.2,2)</f>
        <v>0</v>
      </c>
      <c r="G557" s="38">
        <f>SUMIF('Composição dos serv'!A:A,'PESM Itutinga Piloes pt1'!B557,'Composição dos serv'!I:I)</f>
        <v>0</v>
      </c>
      <c r="H557" s="38">
        <f t="shared" si="151"/>
        <v>0</v>
      </c>
      <c r="I557" s="24"/>
      <c r="J557" s="24"/>
      <c r="K557" s="39">
        <f>SUMIF('Composição dos serv'!A:A,B557,'Composição dos serv'!K:K)</f>
        <v>0.06</v>
      </c>
      <c r="L557" s="40">
        <f t="shared" si="148"/>
        <v>0</v>
      </c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spans="1:26" ht="25.5" hidden="1" customHeight="1">
      <c r="A558" s="26" t="str">
        <f t="shared" si="150"/>
        <v>D13.3</v>
      </c>
      <c r="B558" s="26" t="s">
        <v>111</v>
      </c>
      <c r="C558" s="37" t="str">
        <f>VLOOKUP(B558,'Composição dos serv'!A:I,3,FALSE)</f>
        <v>Retirada de Telhas de amianto Sem Estrutura</v>
      </c>
      <c r="D558" s="26" t="str">
        <f>VLOOKUP(B558,'Composição dos serv'!A:I,4,FALSE)</f>
        <v>m²</v>
      </c>
      <c r="E558" s="37"/>
      <c r="F558" s="37"/>
      <c r="G558" s="38">
        <f>SUMIF('Composição dos serv'!A:A,'PESM Itutinga Piloes pt1'!B558,'Composição dos serv'!I:I)</f>
        <v>0</v>
      </c>
      <c r="H558" s="38">
        <f t="shared" si="151"/>
        <v>0</v>
      </c>
      <c r="I558" s="24"/>
      <c r="J558" s="24"/>
      <c r="K558" s="39">
        <f>SUMIF('Composição dos serv'!A:A,B558,'Composição dos serv'!K:K)</f>
        <v>0.02</v>
      </c>
      <c r="L558" s="40">
        <f t="shared" si="148"/>
        <v>0</v>
      </c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59" spans="1:26" ht="25.5" hidden="1" customHeight="1">
      <c r="A559" s="26" t="str">
        <f t="shared" si="150"/>
        <v>D13.3</v>
      </c>
      <c r="B559" s="26" t="s">
        <v>117</v>
      </c>
      <c r="C559" s="37" t="str">
        <f>VLOOKUP(B559,'Composição dos serv'!A:I,3,FALSE)</f>
        <v>Retirada de Telhas de amianto com Estrutura em madeira (tesouras, treliças,...)</v>
      </c>
      <c r="D559" s="26" t="str">
        <f>VLOOKUP(B559,'Composição dos serv'!A:I,4,FALSE)</f>
        <v>m²</v>
      </c>
      <c r="E559" s="37"/>
      <c r="F559" s="37">
        <f>ROUNDUP(E559*0.1,2)</f>
        <v>0</v>
      </c>
      <c r="G559" s="38">
        <f>SUMIF('Composição dos serv'!A:A,'PESM Itutinga Piloes pt1'!B559,'Composição dos serv'!I:I)</f>
        <v>0</v>
      </c>
      <c r="H559" s="38">
        <f t="shared" si="151"/>
        <v>0</v>
      </c>
      <c r="I559" s="24"/>
      <c r="J559" s="24"/>
      <c r="K559" s="39">
        <f>SUMIF('Composição dos serv'!A:A,B559,'Composição dos serv'!K:K)</f>
        <v>0.04</v>
      </c>
      <c r="L559" s="40">
        <f t="shared" si="148"/>
        <v>0</v>
      </c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</row>
    <row r="560" spans="1:26" ht="25.5" hidden="1" customHeight="1">
      <c r="A560" s="26" t="str">
        <f t="shared" si="150"/>
        <v>D13.3</v>
      </c>
      <c r="B560" s="26" t="s">
        <v>121</v>
      </c>
      <c r="C560" s="37" t="str">
        <f>VLOOKUP(B560,'Composição dos serv'!A:I,3,FALSE)</f>
        <v>Retirada de Laje em concreto</v>
      </c>
      <c r="D560" s="26" t="str">
        <f>VLOOKUP(B560,'Composição dos serv'!A:I,4,FALSE)</f>
        <v>m²</v>
      </c>
      <c r="E560" s="37"/>
      <c r="F560" s="37">
        <f>ROUNDUP(E560*0.12,2)</f>
        <v>0</v>
      </c>
      <c r="G560" s="38">
        <f>SUMIF('Composição dos serv'!A:A,'PESM Itutinga Piloes pt1'!B560,'Composição dos serv'!I:I)</f>
        <v>0</v>
      </c>
      <c r="H560" s="38">
        <f t="shared" si="151"/>
        <v>0</v>
      </c>
      <c r="I560" s="24"/>
      <c r="J560" s="24"/>
      <c r="K560" s="39">
        <f>SUMIF('Composição dos serv'!A:A,B560,'Composição dos serv'!K:K)</f>
        <v>0.09</v>
      </c>
      <c r="L560" s="40">
        <f t="shared" si="148"/>
        <v>0</v>
      </c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</row>
    <row r="561" spans="1:23" ht="25.5" hidden="1" customHeight="1">
      <c r="A561" s="26" t="str">
        <f t="shared" si="150"/>
        <v>D13.3</v>
      </c>
      <c r="B561" s="26" t="s">
        <v>129</v>
      </c>
      <c r="C561" s="37" t="str">
        <f>VLOOKUP(B561,'Composição dos serv'!A:I,3,FALSE)</f>
        <v>Retirada de Forros qualquer com sistema de fixação</v>
      </c>
      <c r="D561" s="26" t="str">
        <f>VLOOKUP(B561,'Composição dos serv'!A:I,4,FALSE)</f>
        <v>m²</v>
      </c>
      <c r="E561" s="37"/>
      <c r="F561" s="37">
        <f>ROUNDUP(E561*0.1,2)</f>
        <v>0</v>
      </c>
      <c r="G561" s="38">
        <f>SUMIF('Composição dos serv'!A:A,'PESM Itutinga Piloes pt1'!B561,'Composição dos serv'!I:I)</f>
        <v>0</v>
      </c>
      <c r="H561" s="38">
        <f t="shared" si="151"/>
        <v>0</v>
      </c>
      <c r="I561" s="24"/>
      <c r="J561" s="24"/>
      <c r="K561" s="39">
        <f>SUMIF('Composição dos serv'!A:A,B561,'Composição dos serv'!K:K)</f>
        <v>0.04</v>
      </c>
      <c r="L561" s="40">
        <f t="shared" si="148"/>
        <v>0</v>
      </c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</row>
    <row r="562" spans="1:23" ht="25.5" customHeight="1">
      <c r="A562" s="33" t="str">
        <f>CONCATENATE(A547,".4")</f>
        <v>D13.4</v>
      </c>
      <c r="B562" s="33" t="s">
        <v>133</v>
      </c>
      <c r="C562" s="34" t="str">
        <f>VLOOKUP(B562,'Composição dos serv'!A:I,3,FALSE)</f>
        <v>PAREDES</v>
      </c>
      <c r="D562" s="35"/>
      <c r="E562" s="35"/>
      <c r="F562" s="35"/>
      <c r="G562" s="35"/>
      <c r="H562" s="36"/>
      <c r="I562" s="24"/>
      <c r="J562" s="24"/>
      <c r="K562" s="39">
        <f>SUMIF('Composição dos serv'!A:A,B562,'Composição dos serv'!K:K)</f>
        <v>0</v>
      </c>
      <c r="L562" s="40">
        <f t="shared" si="148"/>
        <v>0</v>
      </c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</row>
    <row r="563" spans="1:23" ht="25.5" customHeight="1">
      <c r="A563" s="26" t="str">
        <f>A562</f>
        <v>D13.4</v>
      </c>
      <c r="B563" s="26" t="s">
        <v>135</v>
      </c>
      <c r="C563" s="37" t="str">
        <f>VLOOKUP(B563,'Composição dos serv'!A:I,3,FALSE)</f>
        <v>Parede em Alvenaria - usar área construida</v>
      </c>
      <c r="D563" s="26" t="str">
        <f>VLOOKUP(B563,'Composição dos serv'!A:I,4,FALSE)</f>
        <v>m²</v>
      </c>
      <c r="E563" s="49">
        <v>60</v>
      </c>
      <c r="F563" s="37">
        <f>ROUNDUP(E563*0.8,2)</f>
        <v>48</v>
      </c>
      <c r="G563" s="38">
        <f>SUMIF('Composição dos serv'!A:A,B563,'Composição dos serv'!I:I)</f>
        <v>0</v>
      </c>
      <c r="H563" s="38">
        <f t="shared" ref="H563:H565" si="152">E563*G563</f>
        <v>0</v>
      </c>
      <c r="I563" s="24"/>
      <c r="J563" s="24"/>
      <c r="K563" s="39">
        <f>SUMIF('Composição dos serv'!A:A,B563,'Composição dos serv'!K:K)</f>
        <v>0.15000000000000002</v>
      </c>
      <c r="L563" s="40">
        <f t="shared" si="148"/>
        <v>9</v>
      </c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</row>
    <row r="564" spans="1:23" ht="25.5" hidden="1" customHeight="1">
      <c r="A564" s="26" t="str">
        <f>A562</f>
        <v>D13.4</v>
      </c>
      <c r="B564" s="26" t="s">
        <v>143</v>
      </c>
      <c r="C564" s="37" t="str">
        <f>VLOOKUP(B564,'Composição dos serv'!A:I,3,FALSE)</f>
        <v>Parede em Madeirite - Chapas de madeira compensada ou aglomerada - área construída</v>
      </c>
      <c r="D564" s="26" t="str">
        <f>VLOOKUP(B564,'Composição dos serv'!A:I,4,FALSE)</f>
        <v>m²</v>
      </c>
      <c r="E564" s="37"/>
      <c r="F564" s="37">
        <f>ROUNDUP(E564*0.21,2)</f>
        <v>0</v>
      </c>
      <c r="G564" s="38">
        <f>SUMIF('Composição dos serv'!A:A,B564,'Composição dos serv'!I:I)</f>
        <v>0</v>
      </c>
      <c r="H564" s="38">
        <f t="shared" si="152"/>
        <v>0</v>
      </c>
      <c r="I564" s="24"/>
      <c r="J564" s="24"/>
      <c r="K564" s="39">
        <f>SUMIF('Composição dos serv'!A:A,B564,'Composição dos serv'!K:K)</f>
        <v>0.15000000000000002</v>
      </c>
      <c r="L564" s="40">
        <f t="shared" si="148"/>
        <v>0</v>
      </c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</row>
    <row r="565" spans="1:23" ht="25.5" hidden="1" customHeight="1">
      <c r="A565" s="26" t="str">
        <f>A562</f>
        <v>D13.4</v>
      </c>
      <c r="B565" s="26" t="s">
        <v>145</v>
      </c>
      <c r="C565" s="37" t="str">
        <f>VLOOKUP(B565,'Composição dos serv'!A:I,3,FALSE)</f>
        <v>Parede em Lambril de madeira - área construída</v>
      </c>
      <c r="D565" s="26" t="str">
        <f>VLOOKUP(B565,'Composição dos serv'!A:I,4,FALSE)</f>
        <v>m²</v>
      </c>
      <c r="E565" s="37"/>
      <c r="F565" s="37">
        <f>ROUNDUP(E565*4*0.12,2)</f>
        <v>0</v>
      </c>
      <c r="G565" s="38">
        <f>SUMIF('Composição dos serv'!A:A,B565,'Composição dos serv'!I:I)</f>
        <v>0</v>
      </c>
      <c r="H565" s="38">
        <f t="shared" si="152"/>
        <v>0</v>
      </c>
      <c r="I565" s="24"/>
      <c r="J565" s="24"/>
      <c r="K565" s="39">
        <f>SUMIF('Composição dos serv'!A:A,B565,'Composição dos serv'!K:K)</f>
        <v>0.35000000000000009</v>
      </c>
      <c r="L565" s="40">
        <f t="shared" si="148"/>
        <v>0</v>
      </c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</row>
    <row r="566" spans="1:23" ht="25.5" customHeight="1">
      <c r="A566" s="33" t="str">
        <f>CONCATENATE(A547,".5")</f>
        <v>D13.5</v>
      </c>
      <c r="B566" s="33" t="s">
        <v>153</v>
      </c>
      <c r="C566" s="34" t="str">
        <f>VLOOKUP(B566,'Composição dos serv'!A:I,3,FALSE)</f>
        <v>PISO E FUNDAÇÃO</v>
      </c>
      <c r="D566" s="35"/>
      <c r="E566" s="35"/>
      <c r="F566" s="35"/>
      <c r="G566" s="35"/>
      <c r="H566" s="36"/>
      <c r="I566" s="24"/>
      <c r="J566" s="24"/>
      <c r="K566" s="39">
        <f>SUMIF('Composição dos serv'!A:A,B566,'Composição dos serv'!K:K)</f>
        <v>0</v>
      </c>
      <c r="L566" s="40">
        <f t="shared" si="148"/>
        <v>0</v>
      </c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</row>
    <row r="567" spans="1:23" ht="25.5" hidden="1" customHeight="1">
      <c r="A567" s="26" t="str">
        <f>A566</f>
        <v>D13.5</v>
      </c>
      <c r="B567" s="26" t="s">
        <v>155</v>
      </c>
      <c r="C567" s="37" t="str">
        <f>VLOOKUP(B567,'Composição dos serv'!A:I,3,FALSE)</f>
        <v>Piso da edificação com fundação</v>
      </c>
      <c r="D567" s="26" t="str">
        <f>VLOOKUP(B567,'Composição dos serv'!A:I,4,FALSE)</f>
        <v>m²</v>
      </c>
      <c r="E567" s="37"/>
      <c r="F567" s="37">
        <f>ROUNDUP(E567*0.24,2)</f>
        <v>0</v>
      </c>
      <c r="G567" s="38">
        <f>SUMIF('Composição dos serv'!A:A,B567,'Composição dos serv'!I:I)</f>
        <v>0</v>
      </c>
      <c r="H567" s="38">
        <f>E567*G567</f>
        <v>0</v>
      </c>
      <c r="I567" s="24"/>
      <c r="J567" s="24"/>
      <c r="K567" s="39">
        <f>SUMIF('Composição dos serv'!A:A,B567,'Composição dos serv'!K:K)</f>
        <v>0.17</v>
      </c>
      <c r="L567" s="40">
        <f t="shared" si="148"/>
        <v>0</v>
      </c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</row>
    <row r="568" spans="1:23" ht="25.5" customHeight="1">
      <c r="A568" s="33" t="str">
        <f>CONCATENATE(A547,".6")</f>
        <v>D13.6</v>
      </c>
      <c r="B568" s="33" t="s">
        <v>161</v>
      </c>
      <c r="C568" s="48" t="str">
        <f>VLOOKUP(B568,'Composição dos serv'!A:I,3,FALSE)</f>
        <v>ESTRUTURAS DIVERSAS</v>
      </c>
      <c r="D568" s="48"/>
      <c r="E568" s="48"/>
      <c r="F568" s="48"/>
      <c r="G568" s="48"/>
      <c r="H568" s="48"/>
      <c r="I568" s="24"/>
      <c r="J568" s="24"/>
      <c r="K568" s="39">
        <f>SUMIF('Composição dos serv'!A:A,B568,'Composição dos serv'!K:K)</f>
        <v>0</v>
      </c>
      <c r="L568" s="40">
        <f t="shared" si="148"/>
        <v>0</v>
      </c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</row>
    <row r="569" spans="1:23" ht="25.5" hidden="1" customHeight="1">
      <c r="A569" s="26" t="str">
        <f>A568</f>
        <v>D13.6</v>
      </c>
      <c r="B569" s="26" t="s">
        <v>163</v>
      </c>
      <c r="C569" s="37" t="str">
        <f>VLOOKUP(B569,'Composição dos serv'!A:I,3,FALSE)</f>
        <v>Escada em concreto com corrimão</v>
      </c>
      <c r="D569" s="26" t="str">
        <f>VLOOKUP(B569,'Composição dos serv'!A:I,4,FALSE)</f>
        <v>m</v>
      </c>
      <c r="E569" s="49"/>
      <c r="F569" s="37">
        <f>ROUNDUP(E569*1.2*0.25,2)</f>
        <v>0</v>
      </c>
      <c r="G569" s="38">
        <f>SUMIF('Composição dos serv'!A:A,'PESM Itutinga Piloes pt1'!B569,'Composição dos serv'!I:I)</f>
        <v>0</v>
      </c>
      <c r="H569" s="38">
        <f t="shared" ref="H569:H572" si="153">E569*G569</f>
        <v>0</v>
      </c>
      <c r="I569" s="24"/>
      <c r="J569" s="24"/>
      <c r="K569" s="39">
        <f>SUMIF('Composição dos serv'!A:A,B569,'Composição dos serv'!K:K)</f>
        <v>0.39</v>
      </c>
      <c r="L569" s="40">
        <f t="shared" si="148"/>
        <v>0</v>
      </c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</row>
    <row r="570" spans="1:23" ht="25.5" customHeight="1">
      <c r="A570" s="26" t="str">
        <f>A568</f>
        <v>D13.6</v>
      </c>
      <c r="B570" s="26" t="s">
        <v>169</v>
      </c>
      <c r="C570" s="37" t="str">
        <f>VLOOKUP(B570,'Composição dos serv'!A:I,3,FALSE)</f>
        <v>Entrada de Energia - medidor</v>
      </c>
      <c r="D570" s="26" t="str">
        <f>VLOOKUP(B570,'Composição dos serv'!A:I,4,FALSE)</f>
        <v>un</v>
      </c>
      <c r="E570" s="37">
        <v>1</v>
      </c>
      <c r="F570" s="37">
        <f>ROUNDUP(E570*(3.2+(((3.1415*0.4^2)/4)*6)),2)</f>
        <v>3.96</v>
      </c>
      <c r="G570" s="38">
        <f>SUMIF('Composição dos serv'!A:A,'PESM Itutinga Piloes pt1'!B570,'Composição dos serv'!I:I)</f>
        <v>0</v>
      </c>
      <c r="H570" s="38">
        <f t="shared" si="153"/>
        <v>0</v>
      </c>
      <c r="I570" s="24"/>
      <c r="J570" s="24"/>
      <c r="K570" s="39">
        <f>SUMIF('Composição dos serv'!A:A,B570,'Composição dos serv'!K:K)</f>
        <v>1.7600000000000002</v>
      </c>
      <c r="L570" s="40">
        <f t="shared" si="148"/>
        <v>2</v>
      </c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</row>
    <row r="571" spans="1:23" ht="25.5" customHeight="1">
      <c r="A571" s="26" t="str">
        <f>A568</f>
        <v>D13.6</v>
      </c>
      <c r="B571" s="26" t="s">
        <v>183</v>
      </c>
      <c r="C571" s="37" t="str">
        <f>VLOOKUP(B571,'Composição dos serv'!A:I,3,FALSE)</f>
        <v>Hidrômetro com abrigo</v>
      </c>
      <c r="D571" s="26" t="str">
        <f>VLOOKUP(B571,'Composição dos serv'!A:I,4,FALSE)</f>
        <v>un</v>
      </c>
      <c r="E571" s="37">
        <v>1</v>
      </c>
      <c r="F571" s="37">
        <f>ROUNDUP(E571*(1.7+0.1),2)</f>
        <v>1.8</v>
      </c>
      <c r="G571" s="38">
        <f>SUMIF('Composição dos serv'!A:A,'PESM Itutinga Piloes pt1'!B571,'Composição dos serv'!I:I)</f>
        <v>0</v>
      </c>
      <c r="H571" s="38">
        <f t="shared" si="153"/>
        <v>0</v>
      </c>
      <c r="I571" s="24"/>
      <c r="J571" s="24"/>
      <c r="K571" s="39">
        <f>SUMIF('Composição dos serv'!A:A,B571,'Composição dos serv'!K:K)</f>
        <v>0.44000000000000006</v>
      </c>
      <c r="L571" s="40">
        <f t="shared" si="148"/>
        <v>1</v>
      </c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</row>
    <row r="572" spans="1:23" ht="25.5" customHeight="1">
      <c r="A572" s="26" t="str">
        <f>A570</f>
        <v>D13.6</v>
      </c>
      <c r="B572" s="26" t="s">
        <v>191</v>
      </c>
      <c r="C572" s="37" t="str">
        <f>VLOOKUP(B572,'Composição dos serv'!A:I,3,FALSE)</f>
        <v>Aterro de Fossa com retirada de tampa</v>
      </c>
      <c r="D572" s="26" t="str">
        <f>VLOOKUP(B572,'Composição dos serv'!A:I,4,FALSE)</f>
        <v>un</v>
      </c>
      <c r="E572" s="37">
        <v>1</v>
      </c>
      <c r="F572" s="37">
        <f>ROUNDUP(E572*(0.4),2)</f>
        <v>0.4</v>
      </c>
      <c r="G572" s="38">
        <f>SUMIF('Composição dos serv'!A:A,'PESM Itutinga Piloes pt1'!B572,'Composição dos serv'!I:I)</f>
        <v>0</v>
      </c>
      <c r="H572" s="38">
        <f t="shared" si="153"/>
        <v>0</v>
      </c>
      <c r="I572" s="24"/>
      <c r="J572" s="24"/>
      <c r="K572" s="39">
        <f>SUMIF('Composição dos serv'!A:A,B572,'Composição dos serv'!K:K)</f>
        <v>0.85000000000000009</v>
      </c>
      <c r="L572" s="40">
        <f t="shared" si="148"/>
        <v>1</v>
      </c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spans="1:23" ht="25.5" customHeight="1">
      <c r="A573" s="33" t="str">
        <f>CONCATENATE(A547,".7")</f>
        <v>D13.7</v>
      </c>
      <c r="B573" s="33" t="s">
        <v>195</v>
      </c>
      <c r="C573" s="48" t="str">
        <f>VLOOKUP(B573,'Composição dos serv'!A:I,3,FALSE)</f>
        <v>ACABAMENTOS DIVERSOS e OUTROS</v>
      </c>
      <c r="D573" s="48"/>
      <c r="E573" s="48"/>
      <c r="F573" s="48"/>
      <c r="G573" s="48"/>
      <c r="H573" s="48"/>
      <c r="I573" s="24"/>
      <c r="J573" s="24"/>
      <c r="K573" s="39">
        <f>SUMIF('Composição dos serv'!A:A,B573,'Composição dos serv'!K:K)</f>
        <v>0</v>
      </c>
      <c r="L573" s="40">
        <f t="shared" si="148"/>
        <v>0</v>
      </c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spans="1:23" ht="25.5" customHeight="1">
      <c r="A574" s="26" t="str">
        <f>A573</f>
        <v>D13.7</v>
      </c>
      <c r="B574" s="50" t="s">
        <v>197</v>
      </c>
      <c r="C574" s="49" t="str">
        <f>VLOOKUP(B574,'Composição dos serv'!A:I,3,FALSE)</f>
        <v>Remoção de aparelhos sanitarios - por banheiro</v>
      </c>
      <c r="D574" s="50" t="str">
        <f>VLOOKUP(B574,'Composição dos serv'!A:I,4,FALSE)</f>
        <v>unid</v>
      </c>
      <c r="E574" s="49">
        <v>1</v>
      </c>
      <c r="F574" s="37">
        <f t="shared" ref="F574:F576" si="154">ROUNDUP(E574*1,2)</f>
        <v>1</v>
      </c>
      <c r="G574" s="51">
        <f>SUMIF('Composição dos serv'!A:A,B574,'Composição dos serv'!I:I)</f>
        <v>0</v>
      </c>
      <c r="H574" s="51">
        <f t="shared" ref="H574:H580" si="155">E574*G574</f>
        <v>0</v>
      </c>
      <c r="I574" s="24"/>
      <c r="J574" s="24"/>
      <c r="K574" s="39">
        <f>SUMIF('Composição dos serv'!A:A,B574,'Composição dos serv'!K:K)</f>
        <v>0.19</v>
      </c>
      <c r="L574" s="40">
        <f t="shared" si="148"/>
        <v>1</v>
      </c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spans="1:23" ht="25.5" customHeight="1">
      <c r="A575" s="26" t="str">
        <f>A573</f>
        <v>D13.7</v>
      </c>
      <c r="B575" s="50" t="s">
        <v>209</v>
      </c>
      <c r="C575" s="37" t="str">
        <f>VLOOKUP(B575,'Composição dos serv'!A:I,3,FALSE)</f>
        <v>Remoção de aparelhos sanitarios - Cozinha e Área de Serviço</v>
      </c>
      <c r="D575" s="26" t="str">
        <f>VLOOKUP(B575,'Composição dos serv'!A:I,4,FALSE)</f>
        <v>unid</v>
      </c>
      <c r="E575" s="37">
        <v>1</v>
      </c>
      <c r="F575" s="37">
        <f t="shared" si="154"/>
        <v>1</v>
      </c>
      <c r="G575" s="51">
        <f>SUMIF('Composição dos serv'!A:A,B575,'Composição dos serv'!I:I)</f>
        <v>0</v>
      </c>
      <c r="H575" s="38">
        <f t="shared" si="155"/>
        <v>0</v>
      </c>
      <c r="I575" s="24"/>
      <c r="J575" s="24"/>
      <c r="K575" s="39">
        <f>SUMIF('Composição dos serv'!A:A,B575,'Composição dos serv'!K:K)</f>
        <v>0.21</v>
      </c>
      <c r="L575" s="40">
        <f t="shared" si="148"/>
        <v>1</v>
      </c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</row>
    <row r="576" spans="1:23" ht="25.5" customHeight="1">
      <c r="A576" s="26" t="str">
        <f>A573</f>
        <v>D13.7</v>
      </c>
      <c r="B576" s="50" t="s">
        <v>215</v>
      </c>
      <c r="C576" s="37" t="str">
        <f>VLOOKUP(B576,'Composição dos serv'!A:I,3,FALSE)</f>
        <v>Remoção de caixa d'agua</v>
      </c>
      <c r="D576" s="26" t="str">
        <f>VLOOKUP(B576,'Composição dos serv'!A:I,4,FALSE)</f>
        <v>unid</v>
      </c>
      <c r="E576" s="37">
        <v>1</v>
      </c>
      <c r="F576" s="37">
        <f t="shared" si="154"/>
        <v>1</v>
      </c>
      <c r="G576" s="51">
        <f>SUMIF('Composição dos serv'!A:A,B576,'Composição dos serv'!I:I)</f>
        <v>0</v>
      </c>
      <c r="H576" s="38">
        <f t="shared" si="155"/>
        <v>0</v>
      </c>
      <c r="I576" s="24"/>
      <c r="J576" s="24"/>
      <c r="K576" s="39">
        <f>SUMIF('Composição dos serv'!A:A,B576,'Composição dos serv'!K:K)</f>
        <v>0.42000000000000004</v>
      </c>
      <c r="L576" s="40">
        <f t="shared" si="148"/>
        <v>1</v>
      </c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</row>
    <row r="577" spans="1:26" ht="25.5" hidden="1" customHeight="1">
      <c r="A577" s="26" t="str">
        <f>A573</f>
        <v>D13.7</v>
      </c>
      <c r="B577" s="50" t="s">
        <v>219</v>
      </c>
      <c r="C577" s="37" t="str">
        <f>VLOOKUP(B577,'Composição dos serv'!A:I,3,FALSE)</f>
        <v>Remoção do Sistema de Para raios - área do telhado</v>
      </c>
      <c r="D577" s="26" t="str">
        <f>VLOOKUP(B577,'Composição dos serv'!A:I,4,FALSE)</f>
        <v>m²</v>
      </c>
      <c r="E577" s="37"/>
      <c r="F577" s="37">
        <f>ROUNDUP(E577/60,2)</f>
        <v>0</v>
      </c>
      <c r="G577" s="51">
        <f>SUMIF('Composição dos serv'!A:A,B577,'Composição dos serv'!I:I)</f>
        <v>0</v>
      </c>
      <c r="H577" s="38">
        <f t="shared" si="155"/>
        <v>0</v>
      </c>
      <c r="I577" s="24"/>
      <c r="J577" s="24"/>
      <c r="K577" s="39">
        <f>SUMIF('Composição dos serv'!A:A,B577,'Composição dos serv'!K:K)</f>
        <v>0.05</v>
      </c>
      <c r="L577" s="40">
        <f t="shared" si="148"/>
        <v>0</v>
      </c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</row>
    <row r="578" spans="1:26" ht="25.5" customHeight="1">
      <c r="A578" s="26" t="str">
        <f>A573</f>
        <v>D13.7</v>
      </c>
      <c r="B578" s="50" t="s">
        <v>227</v>
      </c>
      <c r="C578" s="37" t="str">
        <f>VLOOKUP(B578,'Composição dos serv'!A:I,3,FALSE)</f>
        <v>Janelas</v>
      </c>
      <c r="D578" s="26" t="str">
        <f>VLOOKUP(B578,'Composição dos serv'!A:I,4,FALSE)</f>
        <v>un</v>
      </c>
      <c r="E578" s="37">
        <v>4</v>
      </c>
      <c r="F578" s="37">
        <f>ROUNDUP(E578*1.5*1.2*0.2,2)</f>
        <v>1.44</v>
      </c>
      <c r="G578" s="51">
        <f>SUMIF('Composição dos serv'!A:A,B578,'Composição dos serv'!I:I)</f>
        <v>0</v>
      </c>
      <c r="H578" s="38">
        <f t="shared" si="155"/>
        <v>0</v>
      </c>
      <c r="I578" s="24"/>
      <c r="J578" s="24"/>
      <c r="K578" s="39">
        <f>SUMIF('Composição dos serv'!A:A,B578,'Composição dos serv'!K:K)</f>
        <v>0</v>
      </c>
      <c r="L578" s="40">
        <f t="shared" si="148"/>
        <v>0</v>
      </c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</row>
    <row r="579" spans="1:26" ht="25.5" customHeight="1">
      <c r="A579" s="26" t="str">
        <f>A573</f>
        <v>D13.7</v>
      </c>
      <c r="B579" s="50" t="s">
        <v>234</v>
      </c>
      <c r="C579" s="37" t="str">
        <f>VLOOKUP(B579,'Composição dos serv'!A:I,3,FALSE)</f>
        <v>Portas</v>
      </c>
      <c r="D579" s="26" t="str">
        <f>VLOOKUP(B579,'Composição dos serv'!A:I,4,FALSE)</f>
        <v>un</v>
      </c>
      <c r="E579" s="37">
        <v>2</v>
      </c>
      <c r="F579" s="37">
        <f>ROUNDUP(E579*2.1*0.9*0.2,2)</f>
        <v>0.76</v>
      </c>
      <c r="G579" s="51">
        <f>SUMIF('Composição dos serv'!A:A,B579,'Composição dos serv'!I:I)</f>
        <v>0</v>
      </c>
      <c r="H579" s="38">
        <f t="shared" si="155"/>
        <v>0</v>
      </c>
      <c r="I579" s="24"/>
      <c r="J579" s="24"/>
      <c r="K579" s="39">
        <f>SUMIF('Composição dos serv'!A:A,B579,'Composição dos serv'!K:K)</f>
        <v>0</v>
      </c>
      <c r="L579" s="40">
        <f t="shared" si="148"/>
        <v>0</v>
      </c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</row>
    <row r="580" spans="1:26" ht="25.5" hidden="1" customHeight="1">
      <c r="A580" s="26" t="str">
        <f>A573</f>
        <v>D13.7</v>
      </c>
      <c r="B580" s="50" t="s">
        <v>236</v>
      </c>
      <c r="C580" s="37" t="str">
        <f>VLOOKUP(B580,'Composição dos serv'!A:I,3,FALSE)</f>
        <v>Guarda corpo de metal</v>
      </c>
      <c r="D580" s="26" t="str">
        <f>VLOOKUP(B580,'Composição dos serv'!A:I,4,FALSE)</f>
        <v>m</v>
      </c>
      <c r="E580" s="37"/>
      <c r="F580" s="37">
        <f>ROUNDUP(E580*1.7*0.05,2)</f>
        <v>0</v>
      </c>
      <c r="G580" s="51">
        <f>SUMIF('Composição dos serv'!A:A,B580,'Composição dos serv'!I:I)</f>
        <v>0</v>
      </c>
      <c r="H580" s="38">
        <f t="shared" si="155"/>
        <v>0</v>
      </c>
      <c r="I580" s="24"/>
      <c r="J580" s="24"/>
      <c r="K580" s="39">
        <f>SUMIF('Composição dos serv'!A:A,B580,'Composição dos serv'!K:K)</f>
        <v>0</v>
      </c>
      <c r="L580" s="40">
        <f t="shared" si="148"/>
        <v>0</v>
      </c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</row>
    <row r="581" spans="1:26" ht="25.5" customHeight="1">
      <c r="A581" s="33" t="str">
        <f>CONCATENATE(A547,".8")</f>
        <v>D13.8</v>
      </c>
      <c r="B581" s="33" t="s">
        <v>240</v>
      </c>
      <c r="C581" s="48" t="str">
        <f>VLOOKUP(B581,'Composição dos serv'!A:I,3,FALSE)</f>
        <v>ENTULHO</v>
      </c>
      <c r="D581" s="48"/>
      <c r="E581" s="48"/>
      <c r="F581" s="48"/>
      <c r="G581" s="48"/>
      <c r="H581" s="48"/>
      <c r="I581" s="24"/>
      <c r="J581" s="24"/>
      <c r="K581" s="39">
        <f>SUMIF('Composição dos serv'!A:A,B581,'Composição dos serv'!K:K)</f>
        <v>0</v>
      </c>
      <c r="L581" s="40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</row>
    <row r="582" spans="1:26" ht="25.5" hidden="1" customHeight="1">
      <c r="A582" s="26" t="str">
        <f>A581</f>
        <v>D13.8</v>
      </c>
      <c r="B582" s="50" t="s">
        <v>242</v>
      </c>
      <c r="C582" s="49" t="str">
        <f>VLOOKUP(B582,'Composição dos serv'!A:I,3,FALSE)</f>
        <v>Transporte e espalhamento Manual do entulho a ser reutilizado</v>
      </c>
      <c r="D582" s="50" t="s">
        <v>291</v>
      </c>
      <c r="E582" s="49"/>
      <c r="F582" s="52">
        <f>IF(E582=1,ROUNDUP((IF(E550&lt;&gt;"",F550,0)+IF(E551&lt;&gt;"",F551,0)+IF(E553&lt;&gt;"",F553,0)+IF(E554&lt;&gt;"",F554*0.34,0)+IF(E557&lt;&gt;"",F557*0.43,0)+IF(E560&lt;&gt;"",F560*0.8,0)+IF(E563&lt;&gt;"",F563*(0.78),0)+IF(E567&lt;&gt;"",F567*0.98,0)+IF(E569&lt;&gt;"",F569*0.91,0)+IF(E570&lt;&gt;"",F570*0.26,0)+IF(E571&lt;&gt;"",F571*0.24,0)+IF(E572&lt;&gt;"",F572,0)),2),0)</f>
        <v>0</v>
      </c>
      <c r="G582" s="51">
        <f>SUMIF('Composição dos serv'!A:A,B582,'Composição dos serv'!I:I)</f>
        <v>0</v>
      </c>
      <c r="H582" s="51">
        <f t="shared" ref="H582:H583" si="156">F582*G582</f>
        <v>0</v>
      </c>
      <c r="I582" s="24"/>
      <c r="J582" s="24"/>
      <c r="K582" s="39">
        <f>SUMIF('Composição dos serv'!A:A,B582,'Composição dos serv'!K:K)</f>
        <v>0.15000000000000002</v>
      </c>
      <c r="L582" s="40">
        <f t="shared" ref="L582:L585" si="157">ROUNDUP(K582*F582,0)</f>
        <v>0</v>
      </c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</row>
    <row r="583" spans="1:26" ht="25.5" hidden="1" customHeight="1">
      <c r="A583" s="26" t="str">
        <f>A581</f>
        <v>D13.8</v>
      </c>
      <c r="B583" s="50" t="s">
        <v>246</v>
      </c>
      <c r="C583" s="49" t="str">
        <f>VLOOKUP(B583,'Composição dos serv'!A:I,3,FALSE)</f>
        <v>Remoção e Transporte Mecanizado do entulho a ser reutilizado</v>
      </c>
      <c r="D583" s="50" t="s">
        <v>291</v>
      </c>
      <c r="E583" s="49"/>
      <c r="F583" s="52">
        <f>IF(E583=1,SUM(F550:F580)-H587,0)</f>
        <v>0</v>
      </c>
      <c r="G583" s="51">
        <f>SUMIF('Composição dos serv'!A:A,B583,'Composição dos serv'!I:I)</f>
        <v>0</v>
      </c>
      <c r="H583" s="51">
        <f t="shared" si="156"/>
        <v>0</v>
      </c>
      <c r="I583" s="24"/>
      <c r="J583" s="24"/>
      <c r="K583" s="39">
        <f>SUMIF('Composição dos serv'!A:A,B583,'Composição dos serv'!K:K)</f>
        <v>0.02</v>
      </c>
      <c r="L583" s="40">
        <f t="shared" si="157"/>
        <v>0</v>
      </c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</row>
    <row r="584" spans="1:26" ht="25.5" hidden="1" customHeight="1">
      <c r="A584" s="26" t="str">
        <f>A581</f>
        <v>D13.8</v>
      </c>
      <c r="B584" s="50" t="s">
        <v>252</v>
      </c>
      <c r="C584" s="49" t="str">
        <f>VLOOKUP(B584,'Composição dos serv'!A:I,3,FALSE)</f>
        <v>Remoção do entulho com caçamba</v>
      </c>
      <c r="D584" s="50" t="s">
        <v>291</v>
      </c>
      <c r="E584" s="49"/>
      <c r="F584" s="52">
        <f>IF(E584=1,SUM(F550:F580),0)</f>
        <v>0</v>
      </c>
      <c r="G584" s="51">
        <f>SUMIF('Composição dos serv'!A:A,B584,'Composição dos serv'!I:I)</f>
        <v>0</v>
      </c>
      <c r="H584" s="51">
        <f>IF(E584&gt;1,"OPÇÃO ERRADA",F584*G584)+IF(G587=1,H587*G584,0)</f>
        <v>0</v>
      </c>
      <c r="I584" s="24"/>
      <c r="J584" s="24"/>
      <c r="K584" s="39">
        <f>SUMIF('Composição dos serv'!A:A,B584,'Composição dos serv'!K:K)</f>
        <v>0.02</v>
      </c>
      <c r="L584" s="40">
        <f t="shared" si="157"/>
        <v>0</v>
      </c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</row>
    <row r="585" spans="1:26" ht="25.5" customHeight="1">
      <c r="A585" s="26" t="str">
        <f>A581</f>
        <v>D13.8</v>
      </c>
      <c r="B585" s="50" t="s">
        <v>256</v>
      </c>
      <c r="C585" s="49" t="str">
        <f>VLOOKUP(B585,'Composição dos serv'!A:I,3,FALSE)</f>
        <v>Remoção e Transporte Mecanizado do entulho para bota fora</v>
      </c>
      <c r="D585" s="50" t="s">
        <v>291</v>
      </c>
      <c r="E585" s="49">
        <v>1</v>
      </c>
      <c r="F585" s="52">
        <f>IF(E585=1,SUM(F550:F580),0)</f>
        <v>59.359999999999992</v>
      </c>
      <c r="G585" s="51">
        <f>SUMIF('Composição dos serv'!A:A,B585,'Composição dos serv'!I:I)</f>
        <v>0</v>
      </c>
      <c r="H585" s="51">
        <f>IF(E585&gt;1,"OPÇÃO ERRADA",F585*G585)+IF(G587=2,H587*G585,0)</f>
        <v>0</v>
      </c>
      <c r="I585" s="24"/>
      <c r="J585" s="24"/>
      <c r="K585" s="39">
        <f>SUMIF('Composição dos serv'!A:A,B585,'Composição dos serv'!K:K)</f>
        <v>7.9999999999999988E-2</v>
      </c>
      <c r="L585" s="40">
        <f t="shared" si="157"/>
        <v>5</v>
      </c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</row>
    <row r="586" spans="1:26" ht="15" hidden="1" customHeight="1">
      <c r="A586" s="26" t="str">
        <f>A581</f>
        <v>D13.8</v>
      </c>
      <c r="B586" s="50" t="s">
        <v>264</v>
      </c>
      <c r="C586" s="49" t="str">
        <f>VLOOKUP(B586,'Composição dos serv'!A:I,3,FALSE)</f>
        <v>Remoção de telhas em cimento amianto</v>
      </c>
      <c r="D586" s="26" t="str">
        <f>VLOOKUP(B586,'Composição dos serv'!A:I,4,FALSE)</f>
        <v>m²</v>
      </c>
      <c r="E586" s="49">
        <f>SUM(E558:E559)</f>
        <v>0</v>
      </c>
      <c r="F586" s="52"/>
      <c r="G586" s="51">
        <f>SUMIF('Composição dos serv'!A:A,B586,'Composição dos serv'!I:I)</f>
        <v>0</v>
      </c>
      <c r="H586" s="51">
        <f>G586*E586</f>
        <v>0</v>
      </c>
      <c r="I586" s="24"/>
      <c r="J586" s="24"/>
      <c r="K586" s="39"/>
      <c r="L586" s="40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</row>
    <row r="587" spans="1:26" ht="25.5" customHeight="1">
      <c r="A587" s="53"/>
      <c r="B587" s="53"/>
      <c r="C587" s="37" t="str">
        <f>IF(E584&lt;&gt;1,IF(E585&lt;&gt;1,IF(H587&lt;&gt;0,"Há Material não reutilizavel qual a destinação para ele?",""),""),"")</f>
        <v/>
      </c>
      <c r="D587" s="168" t="str">
        <f>IF(E584&lt;&gt;1,IF(E585&lt;&gt;1,IF(H587&lt;&gt;0,"Caçamba = 1; Aterro = 2",""),""),"")</f>
        <v/>
      </c>
      <c r="E587" s="169"/>
      <c r="F587" s="170"/>
      <c r="G587" s="37"/>
      <c r="H587" s="54">
        <f>IF(E584=1,0,IF(E585=1,0,ROUNDUP((IF(E554&lt;&gt;"",F554*0.66,0)+IF(E557&lt;&gt;"",F557*0.57,0)+IF(E559&lt;&gt;"",F559,0)+IF(E560&lt;&gt;"",F560*0.2,0)+IF(E561&lt;&gt;"",F561,0)+IF(E563&lt;&gt;"",F563*0.22,0)+IF(E564&lt;&gt;"",F564,0)+IF(E565&lt;&gt;"",F565,0)+IF(E567&lt;&gt;"",F567*0.02,0)+IF(E569&lt;&gt;"",F569*0.09,0)+IF(E570&lt;&gt;"",F570*0.74,0)+IF(E571&lt;&gt;"",F571*(1-0.24),0)+IF(E574&lt;&gt;"",F574,0)+IF(E575&lt;&gt;"",F575,0)+IF(E576&lt;&gt;"",F576,0)+IF(E577&lt;&gt;"",F577,0)+IF(E578&lt;&gt;"",F578,0)+IF(E579&lt;&gt;"",F579,0)+IF(E580&lt;&gt;"",F580,0)+IF(E558&lt;&gt;"",F558,0)+IF(E556&lt;&gt;"",F556,0)),2)))</f>
        <v>0</v>
      </c>
      <c r="I587" s="24"/>
      <c r="J587" s="24"/>
      <c r="K587" s="39"/>
      <c r="L587" s="40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</row>
    <row r="588" spans="1:26" ht="25.5" hidden="1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39">
        <f>SUMIF('Composição dos serv'!A:A,'PESM Itutinga Piloes pt1'!B588,'Composição dos serv'!K:K)</f>
        <v>0</v>
      </c>
      <c r="L588" s="40">
        <f>ROUNDUP(K588*E588,0)</f>
        <v>0</v>
      </c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25.5" customHeight="1">
      <c r="A589" s="100" t="str">
        <f>A547</f>
        <v>D13</v>
      </c>
      <c r="B589" s="177" t="str">
        <f>C547</f>
        <v>EDIFICAÇÃO 13 - Gleba D13</v>
      </c>
      <c r="C589" s="169"/>
      <c r="D589" s="178" t="s">
        <v>280</v>
      </c>
      <c r="E589" s="169"/>
      <c r="F589" s="169"/>
      <c r="G589" s="102">
        <f>SUM(H550:H586)</f>
        <v>0</v>
      </c>
      <c r="H589" s="103"/>
      <c r="I589" s="24"/>
      <c r="J589" s="24"/>
      <c r="K589" s="39">
        <f>IF(SUM(L582:L585)&gt;SUM(L550:L580),SUM(L582:L585),SUM(L550:L580))</f>
        <v>16</v>
      </c>
      <c r="L589" s="40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</row>
    <row r="590" spans="1:26" ht="25.5" customHeight="1">
      <c r="A590" s="30"/>
      <c r="B590" s="44"/>
      <c r="C590" s="24"/>
      <c r="D590" s="44"/>
      <c r="E590" s="24"/>
      <c r="F590" s="24"/>
      <c r="G590" s="45"/>
      <c r="H590" s="45"/>
      <c r="I590" s="24"/>
      <c r="J590" s="24"/>
      <c r="K590" s="39">
        <f>SUMIF('Composição dos serv'!A:A,'PESM Itutinga Piloes pt1'!B590,'Composição dos serv'!K:K)</f>
        <v>0</v>
      </c>
      <c r="L590" s="40">
        <f t="shared" ref="L590:L592" si="158">ROUNDUP(K590*E590,0)</f>
        <v>0</v>
      </c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25.5" customHeight="1">
      <c r="A591" s="80" t="s">
        <v>316</v>
      </c>
      <c r="B591" s="80">
        <v>2</v>
      </c>
      <c r="C591" s="81" t="s">
        <v>317</v>
      </c>
      <c r="D591" s="81"/>
      <c r="E591" s="81"/>
      <c r="F591" s="81"/>
      <c r="G591" s="81"/>
      <c r="H591" s="81"/>
      <c r="I591" s="24"/>
      <c r="J591" s="24"/>
      <c r="K591" s="39">
        <f>SUMIF('Composição dos serv'!A:A,'PESM Itutinga Piloes pt1'!B591,'Composição dos serv'!K:K)</f>
        <v>0</v>
      </c>
      <c r="L591" s="40">
        <f t="shared" si="158"/>
        <v>0</v>
      </c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</row>
    <row r="592" spans="1:26" ht="25.5" hidden="1" customHeight="1">
      <c r="A592" s="59"/>
      <c r="B592" s="30"/>
      <c r="C592" s="30"/>
      <c r="D592" s="30"/>
      <c r="E592" s="30"/>
      <c r="F592" s="30"/>
      <c r="G592" s="30"/>
      <c r="H592" s="30"/>
      <c r="I592" s="24"/>
      <c r="J592" s="24"/>
      <c r="K592" s="39">
        <f>SUMIF('Composição dos serv'!A:A,'PESM Itutinga Piloes pt1'!B592,'Composição dos serv'!K:K)</f>
        <v>0</v>
      </c>
      <c r="L592" s="40">
        <f t="shared" si="158"/>
        <v>0</v>
      </c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3" ht="25.5" customHeight="1">
      <c r="A593" s="33" t="str">
        <f>CONCATENATE(A591,".1")</f>
        <v>D16.1</v>
      </c>
      <c r="B593" s="33" t="s">
        <v>67</v>
      </c>
      <c r="C593" s="48" t="str">
        <f>VLOOKUP(B593,'Composição dos serv'!A:I,3,FALSE)</f>
        <v>DEMOLIÇÃO DE CALÇADAS E/OU CAMINHOS</v>
      </c>
      <c r="D593" s="48"/>
      <c r="E593" s="48"/>
      <c r="F593" s="48"/>
      <c r="G593" s="48"/>
      <c r="H593" s="48"/>
      <c r="I593" s="24"/>
      <c r="J593" s="24"/>
      <c r="K593" s="31"/>
      <c r="L593" s="32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</row>
    <row r="594" spans="1:23" ht="25.5" customHeight="1">
      <c r="A594" s="26" t="str">
        <f>A593</f>
        <v>D16.1</v>
      </c>
      <c r="B594" s="26" t="s">
        <v>69</v>
      </c>
      <c r="C594" s="49" t="str">
        <f>VLOOKUP(B594,'Composição dos serv'!A:I,3,FALSE)</f>
        <v>Demolição de calçada ou caminhos</v>
      </c>
      <c r="D594" s="50" t="str">
        <f>VLOOKUP(B594,'Composição dos serv'!A:I,4,FALSE)</f>
        <v>m²</v>
      </c>
      <c r="E594" s="49">
        <v>23</v>
      </c>
      <c r="F594" s="49">
        <f>ROUNDUP(E594*0.15,2)</f>
        <v>3.45</v>
      </c>
      <c r="G594" s="51">
        <f>SUMIF('Composição dos serv'!A:A,'PESM Itutinga Piloes pt1'!B594,'Composição dos serv'!I:I)</f>
        <v>0</v>
      </c>
      <c r="H594" s="51">
        <f t="shared" ref="H594:H595" si="159">E594*G594</f>
        <v>0</v>
      </c>
      <c r="I594" s="24"/>
      <c r="J594" s="24"/>
      <c r="K594" s="39">
        <f>SUMIF('Composição dos serv'!A:A,B594,'Composição dos serv'!K:K)</f>
        <v>0.12</v>
      </c>
      <c r="L594" s="40">
        <f t="shared" ref="L594:L624" si="160">ROUNDUP(K594*E594,0)</f>
        <v>3</v>
      </c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</row>
    <row r="595" spans="1:23" ht="25.5" hidden="1" customHeight="1">
      <c r="A595" s="26" t="str">
        <f>A593</f>
        <v>D16.1</v>
      </c>
      <c r="B595" s="26" t="s">
        <v>75</v>
      </c>
      <c r="C595" s="37" t="str">
        <f>VLOOKUP(B595,'Composição dos serv'!A:I,3,FALSE)</f>
        <v>Demolição de via Asfaltada, em paralelepípedo ou intertravados</v>
      </c>
      <c r="D595" s="26" t="str">
        <f>VLOOKUP(B595,'Composição dos serv'!A:I,4,FALSE)</f>
        <v>m²</v>
      </c>
      <c r="E595" s="37"/>
      <c r="F595" s="37">
        <f>ROUNDUP(E595*0.2,2)</f>
        <v>0</v>
      </c>
      <c r="G595" s="38">
        <f>SUMIF('Composição dos serv'!A:A,'PESM Itutinga Piloes pt1'!B595,'Composição dos serv'!I:I)</f>
        <v>0</v>
      </c>
      <c r="H595" s="38">
        <f t="shared" si="159"/>
        <v>0</v>
      </c>
      <c r="I595" s="24"/>
      <c r="J595" s="24"/>
      <c r="K595" s="39">
        <f>SUMIF('Composição dos serv'!A:A,B595,'Composição dos serv'!K:K)</f>
        <v>0.06</v>
      </c>
      <c r="L595" s="40">
        <f t="shared" si="160"/>
        <v>0</v>
      </c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</row>
    <row r="596" spans="1:23" ht="25.5" customHeight="1">
      <c r="A596" s="33" t="str">
        <f>CONCATENATE(A591,".2")</f>
        <v>D16.2</v>
      </c>
      <c r="B596" s="33" t="s">
        <v>85</v>
      </c>
      <c r="C596" s="34" t="str">
        <f>VLOOKUP(B596,'Composição dos serv'!A:I,3,FALSE)</f>
        <v>DEMOLIÇÃO DE MUROS E CERCAS</v>
      </c>
      <c r="D596" s="35"/>
      <c r="E596" s="35"/>
      <c r="F596" s="35"/>
      <c r="G596" s="35"/>
      <c r="H596" s="36"/>
      <c r="I596" s="24"/>
      <c r="J596" s="24"/>
      <c r="K596" s="39">
        <f>SUMIF('Composição dos serv'!A:A,B596,'Composição dos serv'!K:K)</f>
        <v>0</v>
      </c>
      <c r="L596" s="40">
        <f t="shared" si="160"/>
        <v>0</v>
      </c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</row>
    <row r="597" spans="1:23" ht="25.5" hidden="1" customHeight="1">
      <c r="A597" s="26" t="str">
        <f>A596</f>
        <v>D16.2</v>
      </c>
      <c r="B597" s="26" t="s">
        <v>87</v>
      </c>
      <c r="C597" s="37" t="str">
        <f>VLOOKUP(B597,'Composição dos serv'!A:I,3,FALSE)</f>
        <v>Demolição de muro em alvenaria ou alambrados</v>
      </c>
      <c r="D597" s="26" t="str">
        <f>VLOOKUP(B597,'Composição dos serv'!A:I,4,FALSE)</f>
        <v>m</v>
      </c>
      <c r="E597" s="37"/>
      <c r="F597" s="37">
        <f>ROUNDUP(E597*0.2*2.4,2)</f>
        <v>0</v>
      </c>
      <c r="G597" s="38">
        <f>SUMIF('Composição dos serv'!A:A,'PESM Itutinga Piloes pt1'!B597,'Composição dos serv'!I:I)</f>
        <v>0</v>
      </c>
      <c r="H597" s="38">
        <f t="shared" ref="H597:H598" si="161">E597*G597</f>
        <v>0</v>
      </c>
      <c r="I597" s="24"/>
      <c r="J597" s="24"/>
      <c r="K597" s="39">
        <f>SUMIF('Composição dos serv'!A:A,B597,'Composição dos serv'!K:K)</f>
        <v>0.26</v>
      </c>
      <c r="L597" s="40">
        <f t="shared" si="160"/>
        <v>0</v>
      </c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</row>
    <row r="598" spans="1:23" ht="25.5" customHeight="1">
      <c r="A598" s="26" t="str">
        <f>A596</f>
        <v>D16.2</v>
      </c>
      <c r="B598" s="26" t="s">
        <v>93</v>
      </c>
      <c r="C598" s="37" t="str">
        <f>VLOOKUP(B598,'Composição dos serv'!A:I,3,FALSE)</f>
        <v>Demolição de Cercas</v>
      </c>
      <c r="D598" s="26" t="str">
        <f>VLOOKUP(B598,'Composição dos serv'!A:I,4,FALSE)</f>
        <v>m</v>
      </c>
      <c r="E598" s="37">
        <v>300</v>
      </c>
      <c r="F598" s="37">
        <f>ROUNDUP(E598*0.1*1.8,2)</f>
        <v>54</v>
      </c>
      <c r="G598" s="38">
        <f>SUMIF('Composição dos serv'!A:A,'PESM Itutinga Piloes pt1'!B598,'Composição dos serv'!I:I)</f>
        <v>0</v>
      </c>
      <c r="H598" s="38">
        <f t="shared" si="161"/>
        <v>0</v>
      </c>
      <c r="I598" s="24"/>
      <c r="J598" s="24"/>
      <c r="K598" s="39">
        <f>SUMIF('Composição dos serv'!A:A,B598,'Composição dos serv'!K:K)</f>
        <v>0.06</v>
      </c>
      <c r="L598" s="40">
        <f t="shared" si="160"/>
        <v>18</v>
      </c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</row>
    <row r="599" spans="1:23" ht="25.5" customHeight="1">
      <c r="A599" s="33" t="str">
        <f>CONCATENATE(A591,".3")</f>
        <v>D16.3</v>
      </c>
      <c r="B599" s="33" t="s">
        <v>99</v>
      </c>
      <c r="C599" s="48" t="str">
        <f>VLOOKUP(B599,'Composição dos serv'!A:I,3,FALSE)</f>
        <v>COBERTURA</v>
      </c>
      <c r="D599" s="48"/>
      <c r="E599" s="48"/>
      <c r="F599" s="48"/>
      <c r="G599" s="48"/>
      <c r="H599" s="48"/>
      <c r="I599" s="24"/>
      <c r="J599" s="24"/>
      <c r="K599" s="39">
        <f>SUMIF('Composição dos serv'!A:A,B599,'Composição dos serv'!K:K)</f>
        <v>0</v>
      </c>
      <c r="L599" s="40">
        <f t="shared" si="160"/>
        <v>0</v>
      </c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</row>
    <row r="600" spans="1:23" ht="25.5" hidden="1" customHeight="1">
      <c r="A600" s="26" t="str">
        <f t="shared" ref="A600:A605" si="162">A599</f>
        <v>D16.3</v>
      </c>
      <c r="B600" s="26" t="s">
        <v>101</v>
      </c>
      <c r="C600" s="37" t="str">
        <f>VLOOKUP(B600,'Composição dos serv'!A:I,3,FALSE)</f>
        <v>Retirada de Estrutura de madeira sem telhas</v>
      </c>
      <c r="D600" s="26" t="str">
        <f>VLOOKUP(B600,'Composição dos serv'!A:I,4,FALSE)</f>
        <v>m²</v>
      </c>
      <c r="E600" s="37"/>
      <c r="F600" s="37">
        <f>ROUNDUP(E600*0.2,2)</f>
        <v>0</v>
      </c>
      <c r="G600" s="38">
        <f>SUMIF('Composição dos serv'!A:A,'PESM Itutinga Piloes pt1'!B600,'Composição dos serv'!I:I)</f>
        <v>0</v>
      </c>
      <c r="H600" s="38">
        <f t="shared" ref="H600:H605" si="163">E600*G600</f>
        <v>0</v>
      </c>
      <c r="I600" s="24"/>
      <c r="J600" s="24"/>
      <c r="K600" s="39">
        <f>SUMIF('Composição dos serv'!A:A,B600,'Composição dos serv'!K:K)</f>
        <v>0.03</v>
      </c>
      <c r="L600" s="40">
        <f t="shared" si="160"/>
        <v>0</v>
      </c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</row>
    <row r="601" spans="1:23" ht="25.5" customHeight="1">
      <c r="A601" s="26" t="str">
        <f t="shared" si="162"/>
        <v>D16.3</v>
      </c>
      <c r="B601" s="26" t="s">
        <v>105</v>
      </c>
      <c r="C601" s="37" t="str">
        <f>VLOOKUP(B601,'Composição dos serv'!A:I,3,FALSE)</f>
        <v>Retirada de Telhas de Barro com Estrutura em madeira (tesouras, treliças,...)</v>
      </c>
      <c r="D601" s="26" t="str">
        <f>VLOOKUP(B601,'Composição dos serv'!A:I,4,FALSE)</f>
        <v>m²</v>
      </c>
      <c r="E601" s="37">
        <v>200</v>
      </c>
      <c r="F601" s="37">
        <f>ROUNDUP(E601*0.08+E601*0.2,2)</f>
        <v>56</v>
      </c>
      <c r="G601" s="38">
        <f>SUMIF('Composição dos serv'!A:A,'PESM Itutinga Piloes pt1'!B601,'Composição dos serv'!I:I)</f>
        <v>0</v>
      </c>
      <c r="H601" s="38">
        <f t="shared" si="163"/>
        <v>0</v>
      </c>
      <c r="I601" s="24"/>
      <c r="J601" s="24"/>
      <c r="K601" s="39">
        <f>SUMIF('Composição dos serv'!A:A,B601,'Composição dos serv'!K:K)</f>
        <v>0.06</v>
      </c>
      <c r="L601" s="40">
        <f t="shared" si="160"/>
        <v>12</v>
      </c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</row>
    <row r="602" spans="1:23" ht="25.5" hidden="1" customHeight="1">
      <c r="A602" s="26" t="str">
        <f t="shared" si="162"/>
        <v>D16.3</v>
      </c>
      <c r="B602" s="26" t="s">
        <v>111</v>
      </c>
      <c r="C602" s="37" t="str">
        <f>VLOOKUP(B602,'Composição dos serv'!A:I,3,FALSE)</f>
        <v>Retirada de Telhas de amianto Sem Estrutura</v>
      </c>
      <c r="D602" s="26" t="str">
        <f>VLOOKUP(B602,'Composição dos serv'!A:I,4,FALSE)</f>
        <v>m²</v>
      </c>
      <c r="E602" s="37"/>
      <c r="F602" s="37"/>
      <c r="G602" s="38">
        <f>SUMIF('Composição dos serv'!A:A,'PESM Itutinga Piloes pt1'!B602,'Composição dos serv'!I:I)</f>
        <v>0</v>
      </c>
      <c r="H602" s="38">
        <f t="shared" si="163"/>
        <v>0</v>
      </c>
      <c r="I602" s="24"/>
      <c r="J602" s="24"/>
      <c r="K602" s="39">
        <f>SUMIF('Composição dos serv'!A:A,B602,'Composição dos serv'!K:K)</f>
        <v>0.02</v>
      </c>
      <c r="L602" s="40">
        <f t="shared" si="160"/>
        <v>0</v>
      </c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</row>
    <row r="603" spans="1:23" ht="25.5" customHeight="1">
      <c r="A603" s="26" t="str">
        <f t="shared" si="162"/>
        <v>D16.3</v>
      </c>
      <c r="B603" s="26" t="s">
        <v>117</v>
      </c>
      <c r="C603" s="37" t="str">
        <f>VLOOKUP(B603,'Composição dos serv'!A:I,3,FALSE)</f>
        <v>Retirada de Telhas de amianto com Estrutura em madeira (tesouras, treliças,...)</v>
      </c>
      <c r="D603" s="26" t="str">
        <f>VLOOKUP(B603,'Composição dos serv'!A:I,4,FALSE)</f>
        <v>m²</v>
      </c>
      <c r="E603" s="37">
        <v>237</v>
      </c>
      <c r="F603" s="37">
        <f>ROUNDUP(E603*0.1,2)</f>
        <v>23.7</v>
      </c>
      <c r="G603" s="38">
        <f>SUMIF('Composição dos serv'!A:A,'PESM Itutinga Piloes pt1'!B603,'Composição dos serv'!I:I)</f>
        <v>0</v>
      </c>
      <c r="H603" s="38">
        <f t="shared" si="163"/>
        <v>0</v>
      </c>
      <c r="I603" s="24"/>
      <c r="J603" s="24"/>
      <c r="K603" s="39">
        <f>SUMIF('Composição dos serv'!A:A,B603,'Composição dos serv'!K:K)</f>
        <v>0.04</v>
      </c>
      <c r="L603" s="40">
        <f t="shared" si="160"/>
        <v>10</v>
      </c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</row>
    <row r="604" spans="1:23" ht="25.5" hidden="1" customHeight="1">
      <c r="A604" s="26" t="str">
        <f t="shared" si="162"/>
        <v>D16.3</v>
      </c>
      <c r="B604" s="26" t="s">
        <v>121</v>
      </c>
      <c r="C604" s="37" t="str">
        <f>VLOOKUP(B604,'Composição dos serv'!A:I,3,FALSE)</f>
        <v>Retirada de Laje em concreto</v>
      </c>
      <c r="D604" s="26" t="str">
        <f>VLOOKUP(B604,'Composição dos serv'!A:I,4,FALSE)</f>
        <v>m²</v>
      </c>
      <c r="E604" s="37"/>
      <c r="F604" s="37">
        <f>ROUNDUP(E604*0.12,2)</f>
        <v>0</v>
      </c>
      <c r="G604" s="38">
        <f>SUMIF('Composição dos serv'!A:A,'PESM Itutinga Piloes pt1'!B604,'Composição dos serv'!I:I)</f>
        <v>0</v>
      </c>
      <c r="H604" s="38">
        <f t="shared" si="163"/>
        <v>0</v>
      </c>
      <c r="I604" s="24"/>
      <c r="J604" s="24"/>
      <c r="K604" s="39">
        <f>SUMIF('Composição dos serv'!A:A,B604,'Composição dos serv'!K:K)</f>
        <v>0.09</v>
      </c>
      <c r="L604" s="40">
        <f t="shared" si="160"/>
        <v>0</v>
      </c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</row>
    <row r="605" spans="1:23" ht="25.5" customHeight="1">
      <c r="A605" s="26" t="str">
        <f t="shared" si="162"/>
        <v>D16.3</v>
      </c>
      <c r="B605" s="26" t="s">
        <v>129</v>
      </c>
      <c r="C605" s="37" t="str">
        <f>VLOOKUP(B605,'Composição dos serv'!A:I,3,FALSE)</f>
        <v>Retirada de Forros qualquer com sistema de fixação</v>
      </c>
      <c r="D605" s="26" t="str">
        <f>VLOOKUP(B605,'Composição dos serv'!A:I,4,FALSE)</f>
        <v>m²</v>
      </c>
      <c r="E605" s="37">
        <v>262</v>
      </c>
      <c r="F605" s="37">
        <f>ROUNDUP(E605*0.1,2)</f>
        <v>26.2</v>
      </c>
      <c r="G605" s="38">
        <f>SUMIF('Composição dos serv'!A:A,'PESM Itutinga Piloes pt1'!B605,'Composição dos serv'!I:I)</f>
        <v>0</v>
      </c>
      <c r="H605" s="38">
        <f t="shared" si="163"/>
        <v>0</v>
      </c>
      <c r="I605" s="24"/>
      <c r="J605" s="24"/>
      <c r="K605" s="39">
        <f>SUMIF('Composição dos serv'!A:A,B605,'Composição dos serv'!K:K)</f>
        <v>0.04</v>
      </c>
      <c r="L605" s="40">
        <f t="shared" si="160"/>
        <v>11</v>
      </c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</row>
    <row r="606" spans="1:23" ht="25.5" customHeight="1">
      <c r="A606" s="33" t="str">
        <f>CONCATENATE(A591,".4")</f>
        <v>D16.4</v>
      </c>
      <c r="B606" s="33" t="s">
        <v>133</v>
      </c>
      <c r="C606" s="34" t="str">
        <f>VLOOKUP(B606,'Composição dos serv'!A:I,3,FALSE)</f>
        <v>PAREDES</v>
      </c>
      <c r="D606" s="35"/>
      <c r="E606" s="35"/>
      <c r="F606" s="35"/>
      <c r="G606" s="35"/>
      <c r="H606" s="36"/>
      <c r="I606" s="24"/>
      <c r="J606" s="24"/>
      <c r="K606" s="39">
        <f>SUMIF('Composição dos serv'!A:A,B606,'Composição dos serv'!K:K)</f>
        <v>0</v>
      </c>
      <c r="L606" s="40">
        <f t="shared" si="160"/>
        <v>0</v>
      </c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</row>
    <row r="607" spans="1:23" ht="25.5" customHeight="1">
      <c r="A607" s="26" t="str">
        <f>A606</f>
        <v>D16.4</v>
      </c>
      <c r="B607" s="26" t="s">
        <v>135</v>
      </c>
      <c r="C607" s="37" t="str">
        <f>VLOOKUP(B607,'Composição dos serv'!A:I,3,FALSE)</f>
        <v>Parede em Alvenaria - usar área construida</v>
      </c>
      <c r="D607" s="26" t="str">
        <f>VLOOKUP(B607,'Composição dos serv'!A:I,4,FALSE)</f>
        <v>m²</v>
      </c>
      <c r="E607" s="49">
        <v>400</v>
      </c>
      <c r="F607" s="37">
        <f>ROUNDUP(E607*0.8,2)</f>
        <v>320</v>
      </c>
      <c r="G607" s="38">
        <f>SUMIF('Composição dos serv'!A:A,B607,'Composição dos serv'!I:I)</f>
        <v>0</v>
      </c>
      <c r="H607" s="38">
        <f t="shared" ref="H607:H609" si="164">E607*G607</f>
        <v>0</v>
      </c>
      <c r="I607" s="24"/>
      <c r="J607" s="24"/>
      <c r="K607" s="39">
        <f>SUMIF('Composição dos serv'!A:A,B607,'Composição dos serv'!K:K)</f>
        <v>0.15000000000000002</v>
      </c>
      <c r="L607" s="40">
        <f t="shared" si="160"/>
        <v>60</v>
      </c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</row>
    <row r="608" spans="1:23" ht="25.5" customHeight="1">
      <c r="A608" s="26" t="str">
        <f>A606</f>
        <v>D16.4</v>
      </c>
      <c r="B608" s="26" t="s">
        <v>143</v>
      </c>
      <c r="C608" s="37" t="str">
        <f>VLOOKUP(B608,'Composição dos serv'!A:I,3,FALSE)</f>
        <v>Parede em Madeirite - Chapas de madeira compensada ou aglomerada - área construída</v>
      </c>
      <c r="D608" s="26" t="str">
        <f>VLOOKUP(B608,'Composição dos serv'!A:I,4,FALSE)</f>
        <v>m²</v>
      </c>
      <c r="E608" s="37">
        <v>37</v>
      </c>
      <c r="F608" s="37">
        <f>ROUNDUP(E608*0.21,2)</f>
        <v>7.77</v>
      </c>
      <c r="G608" s="38">
        <f>SUMIF('Composição dos serv'!A:A,B608,'Composição dos serv'!I:I)</f>
        <v>0</v>
      </c>
      <c r="H608" s="38">
        <f t="shared" si="164"/>
        <v>0</v>
      </c>
      <c r="I608" s="24"/>
      <c r="J608" s="24"/>
      <c r="K608" s="39">
        <f>SUMIF('Composição dos serv'!A:A,B608,'Composição dos serv'!K:K)</f>
        <v>0.15000000000000002</v>
      </c>
      <c r="L608" s="40">
        <f t="shared" si="160"/>
        <v>6</v>
      </c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</row>
    <row r="609" spans="1:23" ht="25.5" hidden="1" customHeight="1">
      <c r="A609" s="26" t="str">
        <f>A606</f>
        <v>D16.4</v>
      </c>
      <c r="B609" s="26" t="s">
        <v>145</v>
      </c>
      <c r="C609" s="37" t="str">
        <f>VLOOKUP(B609,'Composição dos serv'!A:I,3,FALSE)</f>
        <v>Parede em Lambril de madeira - área construída</v>
      </c>
      <c r="D609" s="26" t="str">
        <f>VLOOKUP(B609,'Composição dos serv'!A:I,4,FALSE)</f>
        <v>m²</v>
      </c>
      <c r="E609" s="37"/>
      <c r="F609" s="37">
        <f>ROUNDUP(E609*4*0.12,2)</f>
        <v>0</v>
      </c>
      <c r="G609" s="38">
        <f>SUMIF('Composição dos serv'!A:A,B609,'Composição dos serv'!I:I)</f>
        <v>0</v>
      </c>
      <c r="H609" s="38">
        <f t="shared" si="164"/>
        <v>0</v>
      </c>
      <c r="I609" s="24"/>
      <c r="J609" s="24"/>
      <c r="K609" s="39">
        <f>SUMIF('Composição dos serv'!A:A,B609,'Composição dos serv'!K:K)</f>
        <v>0.35000000000000009</v>
      </c>
      <c r="L609" s="40">
        <f t="shared" si="160"/>
        <v>0</v>
      </c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</row>
    <row r="610" spans="1:23" ht="25.5" customHeight="1">
      <c r="A610" s="33" t="str">
        <f>CONCATENATE(A591,".5")</f>
        <v>D16.5</v>
      </c>
      <c r="B610" s="33" t="s">
        <v>153</v>
      </c>
      <c r="C610" s="34" t="str">
        <f>VLOOKUP(B610,'Composição dos serv'!A:I,3,FALSE)</f>
        <v>PISO E FUNDAÇÃO</v>
      </c>
      <c r="D610" s="35"/>
      <c r="E610" s="35"/>
      <c r="F610" s="35"/>
      <c r="G610" s="35"/>
      <c r="H610" s="36"/>
      <c r="I610" s="24"/>
      <c r="J610" s="24"/>
      <c r="K610" s="39">
        <f>SUMIF('Composição dos serv'!A:A,B610,'Composição dos serv'!K:K)</f>
        <v>0</v>
      </c>
      <c r="L610" s="40">
        <f t="shared" si="160"/>
        <v>0</v>
      </c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</row>
    <row r="611" spans="1:23" ht="25.5" hidden="1" customHeight="1">
      <c r="A611" s="26" t="str">
        <f>A610</f>
        <v>D16.5</v>
      </c>
      <c r="B611" s="26" t="s">
        <v>155</v>
      </c>
      <c r="C611" s="37" t="str">
        <f>VLOOKUP(B611,'Composição dos serv'!A:I,3,FALSE)</f>
        <v>Piso da edificação com fundação</v>
      </c>
      <c r="D611" s="26" t="str">
        <f>VLOOKUP(B611,'Composição dos serv'!A:I,4,FALSE)</f>
        <v>m²</v>
      </c>
      <c r="E611" s="37"/>
      <c r="F611" s="37">
        <f>ROUNDUP(E611*0.24,2)</f>
        <v>0</v>
      </c>
      <c r="G611" s="38">
        <f>SUMIF('Composição dos serv'!A:A,B611,'Composição dos serv'!I:I)</f>
        <v>0</v>
      </c>
      <c r="H611" s="38">
        <f>E611*G611</f>
        <v>0</v>
      </c>
      <c r="I611" s="24"/>
      <c r="J611" s="24"/>
      <c r="K611" s="39">
        <f>SUMIF('Composição dos serv'!A:A,B611,'Composição dos serv'!K:K)</f>
        <v>0.17</v>
      </c>
      <c r="L611" s="40">
        <f t="shared" si="160"/>
        <v>0</v>
      </c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</row>
    <row r="612" spans="1:23" ht="25.5" customHeight="1">
      <c r="A612" s="33" t="str">
        <f>CONCATENATE(A591,".6")</f>
        <v>D16.6</v>
      </c>
      <c r="B612" s="33" t="s">
        <v>161</v>
      </c>
      <c r="C612" s="48" t="str">
        <f>VLOOKUP(B612,'Composição dos serv'!A:I,3,FALSE)</f>
        <v>ESTRUTURAS DIVERSAS</v>
      </c>
      <c r="D612" s="48"/>
      <c r="E612" s="48"/>
      <c r="F612" s="48"/>
      <c r="G612" s="48"/>
      <c r="H612" s="48"/>
      <c r="I612" s="24"/>
      <c r="J612" s="24"/>
      <c r="K612" s="39">
        <f>SUMIF('Composição dos serv'!A:A,B612,'Composição dos serv'!K:K)</f>
        <v>0</v>
      </c>
      <c r="L612" s="40">
        <f t="shared" si="160"/>
        <v>0</v>
      </c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</row>
    <row r="613" spans="1:23" ht="25.5" hidden="1" customHeight="1">
      <c r="A613" s="26" t="str">
        <f>A612</f>
        <v>D16.6</v>
      </c>
      <c r="B613" s="26" t="s">
        <v>163</v>
      </c>
      <c r="C613" s="37" t="str">
        <f>VLOOKUP(B613,'Composição dos serv'!A:I,3,FALSE)</f>
        <v>Escada em concreto com corrimão</v>
      </c>
      <c r="D613" s="26" t="str">
        <f>VLOOKUP(B613,'Composição dos serv'!A:I,4,FALSE)</f>
        <v>m</v>
      </c>
      <c r="E613" s="49"/>
      <c r="F613" s="37">
        <f>ROUNDUP(E613*1.2*0.25,2)</f>
        <v>0</v>
      </c>
      <c r="G613" s="38">
        <f>SUMIF('Composição dos serv'!A:A,'PESM Itutinga Piloes pt1'!B613,'Composição dos serv'!I:I)</f>
        <v>0</v>
      </c>
      <c r="H613" s="38">
        <f t="shared" ref="H613:H616" si="165">E613*G613</f>
        <v>0</v>
      </c>
      <c r="I613" s="24"/>
      <c r="J613" s="24"/>
      <c r="K613" s="39">
        <f>SUMIF('Composição dos serv'!A:A,B613,'Composição dos serv'!K:K)</f>
        <v>0.39</v>
      </c>
      <c r="L613" s="40">
        <f t="shared" si="160"/>
        <v>0</v>
      </c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</row>
    <row r="614" spans="1:23" ht="25.5" customHeight="1">
      <c r="A614" s="26" t="str">
        <f>A612</f>
        <v>D16.6</v>
      </c>
      <c r="B614" s="26" t="s">
        <v>169</v>
      </c>
      <c r="C614" s="37" t="str">
        <f>VLOOKUP(B614,'Composição dos serv'!A:I,3,FALSE)</f>
        <v>Entrada de Energia - medidor</v>
      </c>
      <c r="D614" s="26" t="str">
        <f>VLOOKUP(B614,'Composição dos serv'!A:I,4,FALSE)</f>
        <v>un</v>
      </c>
      <c r="E614" s="37">
        <v>1</v>
      </c>
      <c r="F614" s="37">
        <f>ROUNDUP(E614*(3.2+(((3.1415*0.4^2)/4)*6)),2)</f>
        <v>3.96</v>
      </c>
      <c r="G614" s="38">
        <f>SUMIF('Composição dos serv'!A:A,'PESM Itutinga Piloes pt1'!B614,'Composição dos serv'!I:I)</f>
        <v>0</v>
      </c>
      <c r="H614" s="38">
        <f t="shared" si="165"/>
        <v>0</v>
      </c>
      <c r="I614" s="24"/>
      <c r="J614" s="24"/>
      <c r="K614" s="39">
        <f>SUMIF('Composição dos serv'!A:A,B614,'Composição dos serv'!K:K)</f>
        <v>1.7600000000000002</v>
      </c>
      <c r="L614" s="40">
        <f t="shared" si="160"/>
        <v>2</v>
      </c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</row>
    <row r="615" spans="1:23" ht="25.5" customHeight="1">
      <c r="A615" s="26" t="str">
        <f>A612</f>
        <v>D16.6</v>
      </c>
      <c r="B615" s="26" t="s">
        <v>183</v>
      </c>
      <c r="C615" s="37" t="str">
        <f>VLOOKUP(B615,'Composição dos serv'!A:I,3,FALSE)</f>
        <v>Hidrômetro com abrigo</v>
      </c>
      <c r="D615" s="26" t="str">
        <f>VLOOKUP(B615,'Composição dos serv'!A:I,4,FALSE)</f>
        <v>un</v>
      </c>
      <c r="E615" s="37">
        <v>1</v>
      </c>
      <c r="F615" s="37">
        <f>ROUNDUP(E615*(1.7+0.1),2)</f>
        <v>1.8</v>
      </c>
      <c r="G615" s="38">
        <f>SUMIF('Composição dos serv'!A:A,'PESM Itutinga Piloes pt1'!B615,'Composição dos serv'!I:I)</f>
        <v>0</v>
      </c>
      <c r="H615" s="38">
        <f t="shared" si="165"/>
        <v>0</v>
      </c>
      <c r="I615" s="24"/>
      <c r="J615" s="24"/>
      <c r="K615" s="39">
        <f>SUMIF('Composição dos serv'!A:A,B615,'Composição dos serv'!K:K)</f>
        <v>0.44000000000000006</v>
      </c>
      <c r="L615" s="40">
        <f t="shared" si="160"/>
        <v>1</v>
      </c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</row>
    <row r="616" spans="1:23" ht="25.5" customHeight="1">
      <c r="A616" s="26" t="str">
        <f>A614</f>
        <v>D16.6</v>
      </c>
      <c r="B616" s="26" t="s">
        <v>191</v>
      </c>
      <c r="C616" s="37" t="str">
        <f>VLOOKUP(B616,'Composição dos serv'!A:I,3,FALSE)</f>
        <v>Aterro de Fossa com retirada de tampa</v>
      </c>
      <c r="D616" s="26" t="str">
        <f>VLOOKUP(B616,'Composição dos serv'!A:I,4,FALSE)</f>
        <v>un</v>
      </c>
      <c r="E616" s="37">
        <v>1</v>
      </c>
      <c r="F616" s="37">
        <f>ROUNDUP(E616*(0.4),2)</f>
        <v>0.4</v>
      </c>
      <c r="G616" s="38">
        <f>SUMIF('Composição dos serv'!A:A,'PESM Itutinga Piloes pt1'!B616,'Composição dos serv'!I:I)</f>
        <v>0</v>
      </c>
      <c r="H616" s="38">
        <f t="shared" si="165"/>
        <v>0</v>
      </c>
      <c r="I616" s="24"/>
      <c r="J616" s="24"/>
      <c r="K616" s="39">
        <f>SUMIF('Composição dos serv'!A:A,B616,'Composição dos serv'!K:K)</f>
        <v>0.85000000000000009</v>
      </c>
      <c r="L616" s="40">
        <f t="shared" si="160"/>
        <v>1</v>
      </c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</row>
    <row r="617" spans="1:23" ht="25.5" customHeight="1">
      <c r="A617" s="33" t="str">
        <f>CONCATENATE(A591,".7")</f>
        <v>D16.7</v>
      </c>
      <c r="B617" s="33" t="s">
        <v>195</v>
      </c>
      <c r="C617" s="48" t="str">
        <f>VLOOKUP(B617,'Composição dos serv'!A:I,3,FALSE)</f>
        <v>ACABAMENTOS DIVERSOS e OUTROS</v>
      </c>
      <c r="D617" s="48"/>
      <c r="E617" s="48"/>
      <c r="F617" s="48"/>
      <c r="G617" s="48"/>
      <c r="H617" s="48"/>
      <c r="I617" s="24"/>
      <c r="J617" s="24"/>
      <c r="K617" s="39">
        <f>SUMIF('Composição dos serv'!A:A,B617,'Composição dos serv'!K:K)</f>
        <v>0</v>
      </c>
      <c r="L617" s="40">
        <f t="shared" si="160"/>
        <v>0</v>
      </c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</row>
    <row r="618" spans="1:23" ht="25.5" customHeight="1">
      <c r="A618" s="26" t="str">
        <f>A617</f>
        <v>D16.7</v>
      </c>
      <c r="B618" s="50" t="s">
        <v>197</v>
      </c>
      <c r="C618" s="49" t="str">
        <f>VLOOKUP(B618,'Composição dos serv'!A:I,3,FALSE)</f>
        <v>Remoção de aparelhos sanitarios - por banheiro</v>
      </c>
      <c r="D618" s="50" t="str">
        <f>VLOOKUP(B618,'Composição dos serv'!A:I,4,FALSE)</f>
        <v>unid</v>
      </c>
      <c r="E618" s="49">
        <v>2</v>
      </c>
      <c r="F618" s="37">
        <f t="shared" ref="F618:F620" si="166">ROUNDUP(E618*1,2)</f>
        <v>2</v>
      </c>
      <c r="G618" s="51">
        <f>SUMIF('Composição dos serv'!A:A,B618,'Composição dos serv'!I:I)</f>
        <v>0</v>
      </c>
      <c r="H618" s="51">
        <f t="shared" ref="H618:H624" si="167">E618*G618</f>
        <v>0</v>
      </c>
      <c r="I618" s="24"/>
      <c r="J618" s="24"/>
      <c r="K618" s="39">
        <f>SUMIF('Composição dos serv'!A:A,B618,'Composição dos serv'!K:K)</f>
        <v>0.19</v>
      </c>
      <c r="L618" s="40">
        <f t="shared" si="160"/>
        <v>1</v>
      </c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</row>
    <row r="619" spans="1:23" ht="25.5" customHeight="1">
      <c r="A619" s="26" t="str">
        <f>A617</f>
        <v>D16.7</v>
      </c>
      <c r="B619" s="50" t="s">
        <v>209</v>
      </c>
      <c r="C619" s="37" t="str">
        <f>VLOOKUP(B619,'Composição dos serv'!A:I,3,FALSE)</f>
        <v>Remoção de aparelhos sanitarios - Cozinha e Área de Serviço</v>
      </c>
      <c r="D619" s="26" t="str">
        <f>VLOOKUP(B619,'Composição dos serv'!A:I,4,FALSE)</f>
        <v>unid</v>
      </c>
      <c r="E619" s="37">
        <v>3</v>
      </c>
      <c r="F619" s="37">
        <f t="shared" si="166"/>
        <v>3</v>
      </c>
      <c r="G619" s="51">
        <f>SUMIF('Composição dos serv'!A:A,B619,'Composição dos serv'!I:I)</f>
        <v>0</v>
      </c>
      <c r="H619" s="38">
        <f t="shared" si="167"/>
        <v>0</v>
      </c>
      <c r="I619" s="24"/>
      <c r="J619" s="24"/>
      <c r="K619" s="39">
        <f>SUMIF('Composição dos serv'!A:A,B619,'Composição dos serv'!K:K)</f>
        <v>0.21</v>
      </c>
      <c r="L619" s="40">
        <f t="shared" si="160"/>
        <v>1</v>
      </c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</row>
    <row r="620" spans="1:23" ht="25.5" customHeight="1">
      <c r="A620" s="26" t="str">
        <f>A617</f>
        <v>D16.7</v>
      </c>
      <c r="B620" s="50" t="s">
        <v>215</v>
      </c>
      <c r="C620" s="37" t="str">
        <f>VLOOKUP(B620,'Composição dos serv'!A:I,3,FALSE)</f>
        <v>Remoção de caixa d'agua</v>
      </c>
      <c r="D620" s="26" t="str">
        <f>VLOOKUP(B620,'Composição dos serv'!A:I,4,FALSE)</f>
        <v>unid</v>
      </c>
      <c r="E620" s="37">
        <v>1</v>
      </c>
      <c r="F620" s="37">
        <f t="shared" si="166"/>
        <v>1</v>
      </c>
      <c r="G620" s="51">
        <f>SUMIF('Composição dos serv'!A:A,B620,'Composição dos serv'!I:I)</f>
        <v>0</v>
      </c>
      <c r="H620" s="38">
        <f t="shared" si="167"/>
        <v>0</v>
      </c>
      <c r="I620" s="24"/>
      <c r="J620" s="24"/>
      <c r="K620" s="39">
        <f>SUMIF('Composição dos serv'!A:A,B620,'Composição dos serv'!K:K)</f>
        <v>0.42000000000000004</v>
      </c>
      <c r="L620" s="40">
        <f t="shared" si="160"/>
        <v>1</v>
      </c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</row>
    <row r="621" spans="1:23" ht="25.5" hidden="1" customHeight="1">
      <c r="A621" s="26" t="str">
        <f>A617</f>
        <v>D16.7</v>
      </c>
      <c r="B621" s="50" t="s">
        <v>219</v>
      </c>
      <c r="C621" s="37" t="str">
        <f>VLOOKUP(B621,'Composição dos serv'!A:I,3,FALSE)</f>
        <v>Remoção do Sistema de Para raios - área do telhado</v>
      </c>
      <c r="D621" s="26" t="str">
        <f>VLOOKUP(B621,'Composição dos serv'!A:I,4,FALSE)</f>
        <v>m²</v>
      </c>
      <c r="E621" s="37"/>
      <c r="F621" s="37">
        <f>ROUNDUP(E621/60,2)</f>
        <v>0</v>
      </c>
      <c r="G621" s="51">
        <f>SUMIF('Composição dos serv'!A:A,B621,'Composição dos serv'!I:I)</f>
        <v>0</v>
      </c>
      <c r="H621" s="38">
        <f t="shared" si="167"/>
        <v>0</v>
      </c>
      <c r="I621" s="24"/>
      <c r="J621" s="24"/>
      <c r="K621" s="39">
        <f>SUMIF('Composição dos serv'!A:A,B621,'Composição dos serv'!K:K)</f>
        <v>0.05</v>
      </c>
      <c r="L621" s="40">
        <f t="shared" si="160"/>
        <v>0</v>
      </c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</row>
    <row r="622" spans="1:23" ht="25.5" customHeight="1">
      <c r="A622" s="26" t="str">
        <f>A617</f>
        <v>D16.7</v>
      </c>
      <c r="B622" s="50" t="s">
        <v>227</v>
      </c>
      <c r="C622" s="37" t="str">
        <f>VLOOKUP(B622,'Composição dos serv'!A:I,3,FALSE)</f>
        <v>Janelas</v>
      </c>
      <c r="D622" s="26" t="str">
        <f>VLOOKUP(B622,'Composição dos serv'!A:I,4,FALSE)</f>
        <v>un</v>
      </c>
      <c r="E622" s="37">
        <v>6</v>
      </c>
      <c r="F622" s="37">
        <f>ROUNDUP(E622*1.5*1.2*0.2,2)</f>
        <v>2.16</v>
      </c>
      <c r="G622" s="51">
        <f>SUMIF('Composição dos serv'!A:A,B622,'Composição dos serv'!I:I)</f>
        <v>0</v>
      </c>
      <c r="H622" s="38">
        <f t="shared" si="167"/>
        <v>0</v>
      </c>
      <c r="I622" s="24"/>
      <c r="J622" s="24"/>
      <c r="K622" s="39">
        <f>SUMIF('Composição dos serv'!A:A,B622,'Composição dos serv'!K:K)</f>
        <v>0</v>
      </c>
      <c r="L622" s="40">
        <f t="shared" si="160"/>
        <v>0</v>
      </c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</row>
    <row r="623" spans="1:23" ht="25.5" customHeight="1">
      <c r="A623" s="26" t="str">
        <f>A617</f>
        <v>D16.7</v>
      </c>
      <c r="B623" s="50" t="s">
        <v>234</v>
      </c>
      <c r="C623" s="37" t="str">
        <f>VLOOKUP(B623,'Composição dos serv'!A:I,3,FALSE)</f>
        <v>Portas</v>
      </c>
      <c r="D623" s="26" t="str">
        <f>VLOOKUP(B623,'Composição dos serv'!A:I,4,FALSE)</f>
        <v>un</v>
      </c>
      <c r="E623" s="37">
        <v>3</v>
      </c>
      <c r="F623" s="37">
        <f>ROUNDUP(E623*2.1*0.9*0.2,2)</f>
        <v>1.1399999999999999</v>
      </c>
      <c r="G623" s="51">
        <f>SUMIF('Composição dos serv'!A:A,B623,'Composição dos serv'!I:I)</f>
        <v>0</v>
      </c>
      <c r="H623" s="38">
        <f t="shared" si="167"/>
        <v>0</v>
      </c>
      <c r="I623" s="24"/>
      <c r="J623" s="24"/>
      <c r="K623" s="39">
        <f>SUMIF('Composição dos serv'!A:A,B623,'Composição dos serv'!K:K)</f>
        <v>0</v>
      </c>
      <c r="L623" s="40">
        <f t="shared" si="160"/>
        <v>0</v>
      </c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</row>
    <row r="624" spans="1:23" ht="25.5" hidden="1" customHeight="1">
      <c r="A624" s="26" t="str">
        <f>A617</f>
        <v>D16.7</v>
      </c>
      <c r="B624" s="50" t="s">
        <v>236</v>
      </c>
      <c r="C624" s="37" t="str">
        <f>VLOOKUP(B624,'Composição dos serv'!A:I,3,FALSE)</f>
        <v>Guarda corpo de metal</v>
      </c>
      <c r="D624" s="26" t="str">
        <f>VLOOKUP(B624,'Composição dos serv'!A:I,4,FALSE)</f>
        <v>m</v>
      </c>
      <c r="E624" s="37"/>
      <c r="F624" s="37">
        <f>ROUNDUP(E624*1.7*0.05,2)</f>
        <v>0</v>
      </c>
      <c r="G624" s="51">
        <f>SUMIF('Composição dos serv'!A:A,B624,'Composição dos serv'!I:I)</f>
        <v>0</v>
      </c>
      <c r="H624" s="38">
        <f t="shared" si="167"/>
        <v>0</v>
      </c>
      <c r="I624" s="24"/>
      <c r="J624" s="24"/>
      <c r="K624" s="39">
        <f>SUMIF('Composição dos serv'!A:A,B624,'Composição dos serv'!K:K)</f>
        <v>0</v>
      </c>
      <c r="L624" s="40">
        <f t="shared" si="160"/>
        <v>0</v>
      </c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</row>
    <row r="625" spans="1:26" ht="25.5" customHeight="1">
      <c r="A625" s="33" t="str">
        <f>CONCATENATE(A591,".8")</f>
        <v>D16.8</v>
      </c>
      <c r="B625" s="33" t="s">
        <v>240</v>
      </c>
      <c r="C625" s="48" t="str">
        <f>VLOOKUP(B625,'Composição dos serv'!A:I,3,FALSE)</f>
        <v>ENTULHO</v>
      </c>
      <c r="D625" s="48"/>
      <c r="E625" s="48"/>
      <c r="F625" s="48"/>
      <c r="G625" s="48"/>
      <c r="H625" s="48"/>
      <c r="I625" s="24"/>
      <c r="J625" s="24"/>
      <c r="K625" s="39">
        <f>SUMIF('Composição dos serv'!A:A,B625,'Composição dos serv'!K:K)</f>
        <v>0</v>
      </c>
      <c r="L625" s="40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</row>
    <row r="626" spans="1:26" ht="25.5" hidden="1" customHeight="1">
      <c r="A626" s="26" t="str">
        <f>A625</f>
        <v>D16.8</v>
      </c>
      <c r="B626" s="50" t="s">
        <v>242</v>
      </c>
      <c r="C626" s="49" t="str">
        <f>VLOOKUP(B626,'Composição dos serv'!A:I,3,FALSE)</f>
        <v>Transporte e espalhamento Manual do entulho a ser reutilizado</v>
      </c>
      <c r="D626" s="50" t="s">
        <v>291</v>
      </c>
      <c r="E626" s="49"/>
      <c r="F626" s="52">
        <f>IF(E626=1,ROUNDUP((IF(E594&lt;&gt;"",F594,0)+IF(E595&lt;&gt;"",F595,0)+IF(E597&lt;&gt;"",F597,0)+IF(E598&lt;&gt;"",F598*0.34,0)+IF(E601&lt;&gt;"",F601*0.43,0)+IF(E604&lt;&gt;"",F604*0.8,0)+IF(E607&lt;&gt;"",F607*(0.78),0)+IF(E611&lt;&gt;"",F611*0.98,0)+IF(E613&lt;&gt;"",F613*0.91,0)+IF(E614&lt;&gt;"",F614*0.26,0)+IF(E615&lt;&gt;"",F615*0.24,0)+IF(E616&lt;&gt;"",F616,0)),2),0)</f>
        <v>0</v>
      </c>
      <c r="G626" s="51">
        <f>SUMIF('Composição dos serv'!A:A,B626,'Composição dos serv'!I:I)</f>
        <v>0</v>
      </c>
      <c r="H626" s="51">
        <f t="shared" ref="H626:H627" si="168">F626*G626</f>
        <v>0</v>
      </c>
      <c r="I626" s="24"/>
      <c r="J626" s="24"/>
      <c r="K626" s="39">
        <f>SUMIF('Composição dos serv'!A:A,B626,'Composição dos serv'!K:K)</f>
        <v>0.15000000000000002</v>
      </c>
      <c r="L626" s="40">
        <f t="shared" ref="L626:L629" si="169">ROUNDUP(K626*F626,0)</f>
        <v>0</v>
      </c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</row>
    <row r="627" spans="1:26" ht="25.5" hidden="1" customHeight="1">
      <c r="A627" s="26" t="str">
        <f>A625</f>
        <v>D16.8</v>
      </c>
      <c r="B627" s="50" t="s">
        <v>246</v>
      </c>
      <c r="C627" s="49" t="str">
        <f>VLOOKUP(B627,'Composição dos serv'!A:I,3,FALSE)</f>
        <v>Remoção e Transporte Mecanizado do entulho a ser reutilizado</v>
      </c>
      <c r="D627" s="50" t="s">
        <v>291</v>
      </c>
      <c r="E627" s="49"/>
      <c r="F627" s="52">
        <f>IF(E627=1,SUM(F594:F624)-H631,0)</f>
        <v>0</v>
      </c>
      <c r="G627" s="51">
        <f>SUMIF('Composição dos serv'!A:A,B627,'Composição dos serv'!I:I)</f>
        <v>0</v>
      </c>
      <c r="H627" s="51">
        <f t="shared" si="168"/>
        <v>0</v>
      </c>
      <c r="I627" s="24"/>
      <c r="J627" s="24"/>
      <c r="K627" s="39">
        <f>SUMIF('Composição dos serv'!A:A,B627,'Composição dos serv'!K:K)</f>
        <v>0.02</v>
      </c>
      <c r="L627" s="40">
        <f t="shared" si="169"/>
        <v>0</v>
      </c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</row>
    <row r="628" spans="1:26" ht="25.5" hidden="1" customHeight="1">
      <c r="A628" s="26" t="str">
        <f>A625</f>
        <v>D16.8</v>
      </c>
      <c r="B628" s="50" t="s">
        <v>252</v>
      </c>
      <c r="C628" s="49" t="str">
        <f>VLOOKUP(B628,'Composição dos serv'!A:I,3,FALSE)</f>
        <v>Remoção do entulho com caçamba</v>
      </c>
      <c r="D628" s="50" t="s">
        <v>291</v>
      </c>
      <c r="E628" s="49"/>
      <c r="F628" s="52">
        <f>IF(E628=1,SUM(F594:F624),0)</f>
        <v>0</v>
      </c>
      <c r="G628" s="51">
        <f>SUMIF('Composição dos serv'!A:A,B628,'Composição dos serv'!I:I)</f>
        <v>0</v>
      </c>
      <c r="H628" s="51">
        <f>IF(E628&gt;1,"OPÇÃO ERRADA",F628*G628)+IF(G631=1,H631*G628,0)</f>
        <v>0</v>
      </c>
      <c r="I628" s="24"/>
      <c r="J628" s="24"/>
      <c r="K628" s="39">
        <f>SUMIF('Composição dos serv'!A:A,B628,'Composição dos serv'!K:K)</f>
        <v>0.02</v>
      </c>
      <c r="L628" s="40">
        <f t="shared" si="169"/>
        <v>0</v>
      </c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</row>
    <row r="629" spans="1:26" ht="25.5" customHeight="1">
      <c r="A629" s="26" t="str">
        <f>A625</f>
        <v>D16.8</v>
      </c>
      <c r="B629" s="50" t="s">
        <v>256</v>
      </c>
      <c r="C629" s="49" t="str">
        <f>VLOOKUP(B629,'Composição dos serv'!A:I,3,FALSE)</f>
        <v>Remoção e Transporte Mecanizado do entulho para bota fora</v>
      </c>
      <c r="D629" s="50" t="s">
        <v>291</v>
      </c>
      <c r="E629" s="49">
        <v>1</v>
      </c>
      <c r="F629" s="52">
        <f>IF(E629=1,SUM(F594:F624),0)</f>
        <v>506.58</v>
      </c>
      <c r="G629" s="51">
        <f>SUMIF('Composição dos serv'!A:A,B629,'Composição dos serv'!I:I)</f>
        <v>0</v>
      </c>
      <c r="H629" s="51">
        <f>IF(E629&gt;1,"OPÇÃO ERRADA",F629*G629)+IF(G631=2,H631*G629,0)</f>
        <v>0</v>
      </c>
      <c r="I629" s="24"/>
      <c r="J629" s="24"/>
      <c r="K629" s="39">
        <f>SUMIF('Composição dos serv'!A:A,B629,'Composição dos serv'!K:K)</f>
        <v>7.9999999999999988E-2</v>
      </c>
      <c r="L629" s="40">
        <f t="shared" si="169"/>
        <v>41</v>
      </c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</row>
    <row r="630" spans="1:26" ht="25.5" customHeight="1">
      <c r="A630" s="26" t="str">
        <f>A625</f>
        <v>D16.8</v>
      </c>
      <c r="B630" s="50" t="s">
        <v>264</v>
      </c>
      <c r="C630" s="49" t="str">
        <f>VLOOKUP(B630,'Composição dos serv'!A:I,3,FALSE)</f>
        <v>Remoção de telhas em cimento amianto</v>
      </c>
      <c r="D630" s="26" t="str">
        <f>VLOOKUP(B630,'Composição dos serv'!A:I,4,FALSE)</f>
        <v>m²</v>
      </c>
      <c r="E630" s="49">
        <f>SUM(E602:E603)</f>
        <v>237</v>
      </c>
      <c r="F630" s="52"/>
      <c r="G630" s="51">
        <f>SUMIF('Composição dos serv'!A:A,B630,'Composição dos serv'!I:I)</f>
        <v>0</v>
      </c>
      <c r="H630" s="51">
        <f>G630*E630</f>
        <v>0</v>
      </c>
      <c r="I630" s="24"/>
      <c r="J630" s="24"/>
      <c r="K630" s="39"/>
      <c r="L630" s="40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</row>
    <row r="631" spans="1:26" ht="25.5" customHeight="1">
      <c r="A631" s="53"/>
      <c r="B631" s="53"/>
      <c r="C631" s="37" t="str">
        <f>IF(E628&lt;&gt;1,IF(E629&lt;&gt;1,IF(H631&lt;&gt;0,"Há Material não reutilizavel qual a destinação para ele?",""),""),"")</f>
        <v/>
      </c>
      <c r="D631" s="168" t="str">
        <f>IF(E628&lt;&gt;1,IF(E629&lt;&gt;1,IF(H631&lt;&gt;0,"Caçamba = 1; Aterro = 2",""),""),"")</f>
        <v/>
      </c>
      <c r="E631" s="169"/>
      <c r="F631" s="170"/>
      <c r="G631" s="37"/>
      <c r="H631" s="54">
        <f>IF(E628=1,0,IF(E629=1,0,ROUNDUP((IF(E598&lt;&gt;"",F598*0.66,0)+IF(E601&lt;&gt;"",F601*0.57,0)+IF(E603&lt;&gt;"",F603,0)+IF(E604&lt;&gt;"",F604*0.2,0)+IF(E605&lt;&gt;"",F605,0)+IF(E607&lt;&gt;"",F607*0.22,0)+IF(E608&lt;&gt;"",F608,0)+IF(E609&lt;&gt;"",F609,0)+IF(E611&lt;&gt;"",F611*0.02,0)+IF(E613&lt;&gt;"",F613*0.09,0)+IF(E614&lt;&gt;"",F614*0.74,0)+IF(E615&lt;&gt;"",F615*(1-0.24),0)+IF(E618&lt;&gt;"",F618,0)+IF(E619&lt;&gt;"",F619,0)+IF(E620&lt;&gt;"",F620,0)+IF(E621&lt;&gt;"",F621,0)+IF(E622&lt;&gt;"",F622,0)+IF(E623&lt;&gt;"",F623,0)+IF(E624&lt;&gt;"",F624,0)+IF(E602&lt;&gt;"",F602,0)+IF(E600&lt;&gt;"",F600,0)),2)))</f>
        <v>0</v>
      </c>
      <c r="I631" s="24"/>
      <c r="J631" s="24"/>
      <c r="K631" s="39"/>
      <c r="L631" s="40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</row>
    <row r="632" spans="1:26" ht="25.5" hidden="1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39">
        <f>SUMIF('Composição dos serv'!A:A,'PESM Itutinga Piloes pt1'!B632,'Composição dos serv'!K:K)</f>
        <v>0</v>
      </c>
      <c r="L632" s="40">
        <f>ROUNDUP(K632*E632,0)</f>
        <v>0</v>
      </c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25.5" customHeight="1">
      <c r="A633" s="80" t="str">
        <f>A591</f>
        <v>D16</v>
      </c>
      <c r="B633" s="179" t="str">
        <f>C591</f>
        <v>EDIFICAÇÃO 14 - Gleba D16</v>
      </c>
      <c r="C633" s="169"/>
      <c r="D633" s="180" t="s">
        <v>280</v>
      </c>
      <c r="E633" s="169"/>
      <c r="F633" s="169"/>
      <c r="G633" s="82">
        <f>SUM(H594:H630)</f>
        <v>0</v>
      </c>
      <c r="H633" s="83"/>
      <c r="I633" s="24"/>
      <c r="J633" s="24"/>
      <c r="K633" s="39">
        <f>IF(SUM(L626:L629)&gt;SUM(L594:L624),SUM(L626:L629),SUM(L594:L624))</f>
        <v>127</v>
      </c>
      <c r="L633" s="40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</row>
    <row r="634" spans="1:26" ht="25.5" customHeight="1">
      <c r="A634" s="30"/>
      <c r="B634" s="44"/>
      <c r="C634" s="24"/>
      <c r="D634" s="44"/>
      <c r="E634" s="24"/>
      <c r="F634" s="24"/>
      <c r="G634" s="45"/>
      <c r="H634" s="45"/>
      <c r="I634" s="24"/>
      <c r="J634" s="24"/>
      <c r="K634" s="39">
        <f>SUMIF('Composição dos serv'!A:A,'PESM Itutinga Piloes pt1'!B634,'Composição dos serv'!K:K)</f>
        <v>0</v>
      </c>
      <c r="L634" s="40">
        <f t="shared" ref="L634:L636" si="170">ROUNDUP(K634*E634,0)</f>
        <v>0</v>
      </c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25.5" customHeight="1">
      <c r="A635" s="104" t="s">
        <v>318</v>
      </c>
      <c r="B635" s="104">
        <v>2</v>
      </c>
      <c r="C635" s="105" t="s">
        <v>319</v>
      </c>
      <c r="D635" s="105"/>
      <c r="E635" s="105"/>
      <c r="F635" s="105"/>
      <c r="G635" s="105"/>
      <c r="H635" s="105"/>
      <c r="I635" s="24"/>
      <c r="J635" s="24"/>
      <c r="K635" s="39">
        <f>SUMIF('Composição dos serv'!A:A,'PESM Itutinga Piloes pt1'!B635,'Composição dos serv'!K:K)</f>
        <v>0</v>
      </c>
      <c r="L635" s="40">
        <f t="shared" si="170"/>
        <v>0</v>
      </c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</row>
    <row r="636" spans="1:26" ht="25.5" hidden="1" customHeight="1">
      <c r="A636" s="59"/>
      <c r="B636" s="30"/>
      <c r="C636" s="30"/>
      <c r="D636" s="30"/>
      <c r="E636" s="30"/>
      <c r="F636" s="30"/>
      <c r="G636" s="30"/>
      <c r="H636" s="30"/>
      <c r="I636" s="24"/>
      <c r="J636" s="24"/>
      <c r="K636" s="39">
        <f>SUMIF('Composição dos serv'!A:A,'PESM Itutinga Piloes pt1'!B636,'Composição dos serv'!K:K)</f>
        <v>0</v>
      </c>
      <c r="L636" s="40">
        <f t="shared" si="170"/>
        <v>0</v>
      </c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25.5" customHeight="1">
      <c r="A637" s="33" t="str">
        <f>CONCATENATE(A635,".1")</f>
        <v>D17.1</v>
      </c>
      <c r="B637" s="33" t="s">
        <v>67</v>
      </c>
      <c r="C637" s="48" t="str">
        <f>VLOOKUP(B637,'Composição dos serv'!A:I,3,FALSE)</f>
        <v>DEMOLIÇÃO DE CALÇADAS E/OU CAMINHOS</v>
      </c>
      <c r="D637" s="48"/>
      <c r="E637" s="48"/>
      <c r="F637" s="48"/>
      <c r="G637" s="48"/>
      <c r="H637" s="48"/>
      <c r="I637" s="24"/>
      <c r="J637" s="24"/>
      <c r="K637" s="31"/>
      <c r="L637" s="32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</row>
    <row r="638" spans="1:26" ht="25.5" customHeight="1">
      <c r="A638" s="26" t="str">
        <f>A637</f>
        <v>D17.1</v>
      </c>
      <c r="B638" s="26" t="s">
        <v>69</v>
      </c>
      <c r="C638" s="49" t="str">
        <f>VLOOKUP(B638,'Composição dos serv'!A:I,3,FALSE)</f>
        <v>Demolição de calçada ou caminhos</v>
      </c>
      <c r="D638" s="50" t="str">
        <f>VLOOKUP(B638,'Composição dos serv'!A:I,4,FALSE)</f>
        <v>m²</v>
      </c>
      <c r="E638" s="49">
        <v>12</v>
      </c>
      <c r="F638" s="49">
        <f>ROUNDUP(E638*0.15,2)</f>
        <v>1.8</v>
      </c>
      <c r="G638" s="38">
        <f>SUMIF('Composição dos serv'!A:A,B638,'Composição dos serv'!I:I)</f>
        <v>0</v>
      </c>
      <c r="H638" s="51">
        <f t="shared" ref="H638:H639" si="171">E638*G638</f>
        <v>0</v>
      </c>
      <c r="I638" s="24"/>
      <c r="J638" s="24"/>
      <c r="K638" s="39">
        <f>SUMIF('Composição dos serv'!A:A,B638,'Composição dos serv'!K:K)</f>
        <v>0.12</v>
      </c>
      <c r="L638" s="40">
        <f t="shared" ref="L638:L668" si="172">ROUNDUP(K638*E638,0)</f>
        <v>2</v>
      </c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</row>
    <row r="639" spans="1:26" ht="25.5" hidden="1" customHeight="1">
      <c r="A639" s="26" t="str">
        <f>A637</f>
        <v>D17.1</v>
      </c>
      <c r="B639" s="26" t="s">
        <v>75</v>
      </c>
      <c r="C639" s="37" t="str">
        <f>VLOOKUP(B639,'Composição dos serv'!A:I,3,FALSE)</f>
        <v>Demolição de via Asfaltada, em paralelepípedo ou intertravados</v>
      </c>
      <c r="D639" s="26" t="str">
        <f>VLOOKUP(B639,'Composição dos serv'!A:I,4,FALSE)</f>
        <v>m²</v>
      </c>
      <c r="E639" s="37"/>
      <c r="F639" s="37">
        <f>ROUNDUP(E639*0.2,2)</f>
        <v>0</v>
      </c>
      <c r="G639" s="38">
        <f>SUMIF('Composição dos serv'!A:A,B639,'Composição dos serv'!I:I)</f>
        <v>0</v>
      </c>
      <c r="H639" s="38">
        <f t="shared" si="171"/>
        <v>0</v>
      </c>
      <c r="I639" s="24"/>
      <c r="J639" s="24"/>
      <c r="K639" s="39">
        <f>SUMIF('Composição dos serv'!A:A,B639,'Composição dos serv'!K:K)</f>
        <v>0.06</v>
      </c>
      <c r="L639" s="40">
        <f t="shared" si="172"/>
        <v>0</v>
      </c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</row>
    <row r="640" spans="1:26" ht="25.5" customHeight="1">
      <c r="A640" s="33" t="str">
        <f>CONCATENATE(A635,".2")</f>
        <v>D17.2</v>
      </c>
      <c r="B640" s="33" t="s">
        <v>85</v>
      </c>
      <c r="C640" s="34" t="str">
        <f>VLOOKUP(B640,'Composição dos serv'!A:I,3,FALSE)</f>
        <v>DEMOLIÇÃO DE MUROS E CERCAS</v>
      </c>
      <c r="D640" s="35"/>
      <c r="E640" s="35"/>
      <c r="F640" s="35"/>
      <c r="G640" s="35"/>
      <c r="H640" s="36"/>
      <c r="I640" s="24"/>
      <c r="J640" s="24"/>
      <c r="K640" s="39">
        <f>SUMIF('Composição dos serv'!A:A,B640,'Composição dos serv'!K:K)</f>
        <v>0</v>
      </c>
      <c r="L640" s="40">
        <f t="shared" si="172"/>
        <v>0</v>
      </c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</row>
    <row r="641" spans="1:23" ht="25.5" hidden="1" customHeight="1">
      <c r="A641" s="26" t="str">
        <f>A640</f>
        <v>D17.2</v>
      </c>
      <c r="B641" s="26" t="s">
        <v>87</v>
      </c>
      <c r="C641" s="37" t="str">
        <f>VLOOKUP(B641,'Composição dos serv'!A:I,3,FALSE)</f>
        <v>Demolição de muro em alvenaria ou alambrados</v>
      </c>
      <c r="D641" s="26" t="str">
        <f>VLOOKUP(B641,'Composição dos serv'!A:I,4,FALSE)</f>
        <v>m</v>
      </c>
      <c r="E641" s="37"/>
      <c r="F641" s="37">
        <f>ROUNDUP(E641*0.2*2.4,2)</f>
        <v>0</v>
      </c>
      <c r="G641" s="38">
        <f>SUMIF('Composição dos serv'!A:A,B641,'Composição dos serv'!I:I)</f>
        <v>0</v>
      </c>
      <c r="H641" s="38">
        <f t="shared" ref="H641:H642" si="173">E641*G641</f>
        <v>0</v>
      </c>
      <c r="I641" s="24"/>
      <c r="J641" s="24"/>
      <c r="K641" s="39">
        <f>SUMIF('Composição dos serv'!A:A,B641,'Composição dos serv'!K:K)</f>
        <v>0.26</v>
      </c>
      <c r="L641" s="40">
        <f t="shared" si="172"/>
        <v>0</v>
      </c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</row>
    <row r="642" spans="1:23" ht="25.5" customHeight="1">
      <c r="A642" s="26" t="str">
        <f>A640</f>
        <v>D17.2</v>
      </c>
      <c r="B642" s="26" t="s">
        <v>93</v>
      </c>
      <c r="C642" s="37" t="str">
        <f>VLOOKUP(B642,'Composição dos serv'!A:I,3,FALSE)</f>
        <v>Demolição de Cercas</v>
      </c>
      <c r="D642" s="26" t="str">
        <f>VLOOKUP(B642,'Composição dos serv'!A:I,4,FALSE)</f>
        <v>m</v>
      </c>
      <c r="E642" s="37">
        <v>100</v>
      </c>
      <c r="F642" s="37">
        <f>ROUNDUP(E642*0.1*1.8,2)</f>
        <v>18</v>
      </c>
      <c r="G642" s="38">
        <f>SUMIF('Composição dos serv'!A:A,B642,'Composição dos serv'!I:I)</f>
        <v>0</v>
      </c>
      <c r="H642" s="38">
        <f t="shared" si="173"/>
        <v>0</v>
      </c>
      <c r="I642" s="24"/>
      <c r="J642" s="24"/>
      <c r="K642" s="39">
        <f>SUMIF('Composição dos serv'!A:A,B642,'Composição dos serv'!K:K)</f>
        <v>0.06</v>
      </c>
      <c r="L642" s="40">
        <f t="shared" si="172"/>
        <v>6</v>
      </c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</row>
    <row r="643" spans="1:23" ht="25.5" customHeight="1">
      <c r="A643" s="33" t="str">
        <f>CONCATENATE(A635,".3")</f>
        <v>D17.3</v>
      </c>
      <c r="B643" s="33" t="s">
        <v>99</v>
      </c>
      <c r="C643" s="48" t="str">
        <f>VLOOKUP(B643,'Composição dos serv'!A:I,3,FALSE)</f>
        <v>COBERTURA</v>
      </c>
      <c r="D643" s="48"/>
      <c r="E643" s="48"/>
      <c r="F643" s="48"/>
      <c r="G643" s="48"/>
      <c r="H643" s="48"/>
      <c r="I643" s="24"/>
      <c r="J643" s="24"/>
      <c r="K643" s="39">
        <f>SUMIF('Composição dos serv'!A:A,B643,'Composição dos serv'!K:K)</f>
        <v>0</v>
      </c>
      <c r="L643" s="40">
        <f t="shared" si="172"/>
        <v>0</v>
      </c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</row>
    <row r="644" spans="1:23" ht="25.5" hidden="1" customHeight="1">
      <c r="A644" s="26" t="str">
        <f t="shared" ref="A644:A649" si="174">A643</f>
        <v>D17.3</v>
      </c>
      <c r="B644" s="26" t="s">
        <v>101</v>
      </c>
      <c r="C644" s="37" t="str">
        <f>VLOOKUP(B644,'Composição dos serv'!A:I,3,FALSE)</f>
        <v>Retirada de Estrutura de madeira sem telhas</v>
      </c>
      <c r="D644" s="26" t="str">
        <f>VLOOKUP(B644,'Composição dos serv'!A:I,4,FALSE)</f>
        <v>m²</v>
      </c>
      <c r="E644" s="37"/>
      <c r="F644" s="37">
        <f>ROUNDUP(E644*0.2,2)</f>
        <v>0</v>
      </c>
      <c r="G644" s="38">
        <f>SUMIF('Composição dos serv'!A:A,B644,'Composição dos serv'!I:I)</f>
        <v>0</v>
      </c>
      <c r="H644" s="38">
        <f t="shared" ref="H644:H649" si="175">E644*G644</f>
        <v>0</v>
      </c>
      <c r="I644" s="24"/>
      <c r="J644" s="24"/>
      <c r="K644" s="39">
        <f>SUMIF('Composição dos serv'!A:A,B644,'Composição dos serv'!K:K)</f>
        <v>0.03</v>
      </c>
      <c r="L644" s="40">
        <f t="shared" si="172"/>
        <v>0</v>
      </c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</row>
    <row r="645" spans="1:23" ht="25.5" hidden="1" customHeight="1">
      <c r="A645" s="26" t="str">
        <f t="shared" si="174"/>
        <v>D17.3</v>
      </c>
      <c r="B645" s="26" t="s">
        <v>105</v>
      </c>
      <c r="C645" s="37" t="str">
        <f>VLOOKUP(B645,'Composição dos serv'!A:I,3,FALSE)</f>
        <v>Retirada de Telhas de Barro com Estrutura em madeira (tesouras, treliças,...)</v>
      </c>
      <c r="D645" s="26" t="str">
        <f>VLOOKUP(B645,'Composição dos serv'!A:I,4,FALSE)</f>
        <v>m²</v>
      </c>
      <c r="E645" s="37"/>
      <c r="F645" s="37">
        <f>ROUNDUP(E645*0.08+E645*0.2,2)</f>
        <v>0</v>
      </c>
      <c r="G645" s="38">
        <f>SUMIF('Composição dos serv'!A:A,B645,'Composição dos serv'!I:I)</f>
        <v>0</v>
      </c>
      <c r="H645" s="38">
        <f t="shared" si="175"/>
        <v>0</v>
      </c>
      <c r="I645" s="24"/>
      <c r="J645" s="24"/>
      <c r="K645" s="39">
        <f>SUMIF('Composição dos serv'!A:A,B645,'Composição dos serv'!K:K)</f>
        <v>0.06</v>
      </c>
      <c r="L645" s="40">
        <f t="shared" si="172"/>
        <v>0</v>
      </c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</row>
    <row r="646" spans="1:23" ht="25.5" hidden="1" customHeight="1">
      <c r="A646" s="26" t="str">
        <f t="shared" si="174"/>
        <v>D17.3</v>
      </c>
      <c r="B646" s="26" t="s">
        <v>111</v>
      </c>
      <c r="C646" s="37" t="str">
        <f>VLOOKUP(B646,'Composição dos serv'!A:I,3,FALSE)</f>
        <v>Retirada de Telhas de amianto Sem Estrutura</v>
      </c>
      <c r="D646" s="26" t="str">
        <f>VLOOKUP(B646,'Composição dos serv'!A:I,4,FALSE)</f>
        <v>m²</v>
      </c>
      <c r="E646" s="37"/>
      <c r="F646" s="37"/>
      <c r="G646" s="38">
        <f>SUMIF('Composição dos serv'!A:A,B646,'Composição dos serv'!I:I)</f>
        <v>0</v>
      </c>
      <c r="H646" s="38">
        <f t="shared" si="175"/>
        <v>0</v>
      </c>
      <c r="I646" s="24"/>
      <c r="J646" s="24"/>
      <c r="K646" s="39">
        <f>SUMIF('Composição dos serv'!A:A,B646,'Composição dos serv'!K:K)</f>
        <v>0.02</v>
      </c>
      <c r="L646" s="40">
        <f t="shared" si="172"/>
        <v>0</v>
      </c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</row>
    <row r="647" spans="1:23" ht="25.5" customHeight="1">
      <c r="A647" s="26" t="str">
        <f t="shared" si="174"/>
        <v>D17.3</v>
      </c>
      <c r="B647" s="26" t="s">
        <v>117</v>
      </c>
      <c r="C647" s="37" t="str">
        <f>VLOOKUP(B647,'Composição dos serv'!A:I,3,FALSE)</f>
        <v>Retirada de Telhas de amianto com Estrutura em madeira (tesouras, treliças,...)</v>
      </c>
      <c r="D647" s="26" t="str">
        <f>VLOOKUP(B647,'Composição dos serv'!A:I,4,FALSE)</f>
        <v>m²</v>
      </c>
      <c r="E647" s="37">
        <v>444</v>
      </c>
      <c r="F647" s="37">
        <f>ROUNDUP(E647*0.1,2)</f>
        <v>44.4</v>
      </c>
      <c r="G647" s="38">
        <f>SUMIF('Composição dos serv'!A:A,B647,'Composição dos serv'!I:I)</f>
        <v>0</v>
      </c>
      <c r="H647" s="38">
        <f t="shared" si="175"/>
        <v>0</v>
      </c>
      <c r="I647" s="24"/>
      <c r="J647" s="24"/>
      <c r="K647" s="39">
        <f>SUMIF('Composição dos serv'!A:A,B647,'Composição dos serv'!K:K)</f>
        <v>0.04</v>
      </c>
      <c r="L647" s="40">
        <f t="shared" si="172"/>
        <v>18</v>
      </c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</row>
    <row r="648" spans="1:23" ht="25.5" customHeight="1">
      <c r="A648" s="26" t="str">
        <f t="shared" si="174"/>
        <v>D17.3</v>
      </c>
      <c r="B648" s="26" t="s">
        <v>121</v>
      </c>
      <c r="C648" s="37" t="str">
        <f>VLOOKUP(B648,'Composição dos serv'!A:I,3,FALSE)</f>
        <v>Retirada de Laje em concreto</v>
      </c>
      <c r="D648" s="26" t="str">
        <f>VLOOKUP(B648,'Composição dos serv'!A:I,4,FALSE)</f>
        <v>m²</v>
      </c>
      <c r="E648" s="37">
        <v>65</v>
      </c>
      <c r="F648" s="37">
        <f>ROUNDUP(E648*0.12,2)</f>
        <v>7.8</v>
      </c>
      <c r="G648" s="38">
        <f>SUMIF('Composição dos serv'!A:A,B648,'Composição dos serv'!I:I)</f>
        <v>0</v>
      </c>
      <c r="H648" s="38">
        <f t="shared" si="175"/>
        <v>0</v>
      </c>
      <c r="I648" s="24"/>
      <c r="J648" s="24"/>
      <c r="K648" s="39">
        <f>SUMIF('Composição dos serv'!A:A,B648,'Composição dos serv'!K:K)</f>
        <v>0.09</v>
      </c>
      <c r="L648" s="40">
        <f t="shared" si="172"/>
        <v>6</v>
      </c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</row>
    <row r="649" spans="1:23" ht="25.5" customHeight="1">
      <c r="A649" s="26" t="str">
        <f t="shared" si="174"/>
        <v>D17.3</v>
      </c>
      <c r="B649" s="26" t="s">
        <v>129</v>
      </c>
      <c r="C649" s="37" t="str">
        <f>VLOOKUP(B649,'Composição dos serv'!A:I,3,FALSE)</f>
        <v>Retirada de Forros qualquer com sistema de fixação</v>
      </c>
      <c r="D649" s="26" t="str">
        <f>VLOOKUP(B649,'Composição dos serv'!A:I,4,FALSE)</f>
        <v>m²</v>
      </c>
      <c r="E649" s="37">
        <v>266</v>
      </c>
      <c r="F649" s="37">
        <f>ROUNDUP(E649*0.1,2)</f>
        <v>26.6</v>
      </c>
      <c r="G649" s="38">
        <f>SUMIF('Composição dos serv'!A:A,B649,'Composição dos serv'!I:I)</f>
        <v>0</v>
      </c>
      <c r="H649" s="38">
        <f t="shared" si="175"/>
        <v>0</v>
      </c>
      <c r="I649" s="24"/>
      <c r="J649" s="24"/>
      <c r="K649" s="39">
        <f>SUMIF('Composição dos serv'!A:A,B649,'Composição dos serv'!K:K)</f>
        <v>0.04</v>
      </c>
      <c r="L649" s="40">
        <f t="shared" si="172"/>
        <v>11</v>
      </c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</row>
    <row r="650" spans="1:23" ht="25.5" customHeight="1">
      <c r="A650" s="33" t="str">
        <f>CONCATENATE(A635,".4")</f>
        <v>D17.4</v>
      </c>
      <c r="B650" s="33" t="s">
        <v>133</v>
      </c>
      <c r="C650" s="34" t="str">
        <f>VLOOKUP(B650,'Composição dos serv'!A:I,3,FALSE)</f>
        <v>PAREDES</v>
      </c>
      <c r="D650" s="35"/>
      <c r="E650" s="35"/>
      <c r="F650" s="35"/>
      <c r="G650" s="35"/>
      <c r="H650" s="36"/>
      <c r="I650" s="24"/>
      <c r="J650" s="24"/>
      <c r="K650" s="39">
        <f>SUMIF('Composição dos serv'!A:A,B650,'Composição dos serv'!K:K)</f>
        <v>0</v>
      </c>
      <c r="L650" s="40">
        <f t="shared" si="172"/>
        <v>0</v>
      </c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</row>
    <row r="651" spans="1:23" ht="25.5" customHeight="1">
      <c r="A651" s="26" t="str">
        <f>A650</f>
        <v>D17.4</v>
      </c>
      <c r="B651" s="26" t="s">
        <v>135</v>
      </c>
      <c r="C651" s="37" t="str">
        <f>VLOOKUP(B651,'Composição dos serv'!A:I,3,FALSE)</f>
        <v>Parede em Alvenaria - usar área construida</v>
      </c>
      <c r="D651" s="26" t="str">
        <f>VLOOKUP(B651,'Composição dos serv'!A:I,4,FALSE)</f>
        <v>m²</v>
      </c>
      <c r="E651" s="49">
        <v>444</v>
      </c>
      <c r="F651" s="37">
        <f>ROUNDUP(E651*0.8,2)</f>
        <v>355.2</v>
      </c>
      <c r="G651" s="38">
        <f>SUMIF('Composição dos serv'!A:A,B651,'Composição dos serv'!I:I)</f>
        <v>0</v>
      </c>
      <c r="H651" s="38">
        <f t="shared" ref="H651:H653" si="176">E651*G651</f>
        <v>0</v>
      </c>
      <c r="I651" s="24"/>
      <c r="J651" s="24"/>
      <c r="K651" s="39">
        <f>SUMIF('Composição dos serv'!A:A,B651,'Composição dos serv'!K:K)</f>
        <v>0.15000000000000002</v>
      </c>
      <c r="L651" s="40">
        <f t="shared" si="172"/>
        <v>67</v>
      </c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</row>
    <row r="652" spans="1:23" ht="25.5" hidden="1" customHeight="1">
      <c r="A652" s="26" t="str">
        <f>A650</f>
        <v>D17.4</v>
      </c>
      <c r="B652" s="26" t="s">
        <v>143</v>
      </c>
      <c r="C652" s="37" t="str">
        <f>VLOOKUP(B652,'Composição dos serv'!A:I,3,FALSE)</f>
        <v>Parede em Madeirite - Chapas de madeira compensada ou aglomerada - área construída</v>
      </c>
      <c r="D652" s="26" t="str">
        <f>VLOOKUP(B652,'Composição dos serv'!A:I,4,FALSE)</f>
        <v>m²</v>
      </c>
      <c r="E652" s="37"/>
      <c r="F652" s="37">
        <f>ROUNDUP(E652*0.21,2)</f>
        <v>0</v>
      </c>
      <c r="G652" s="38">
        <f>SUMIF('Composição dos serv'!A:A,B652,'Composição dos serv'!I:I)</f>
        <v>0</v>
      </c>
      <c r="H652" s="38">
        <f t="shared" si="176"/>
        <v>0</v>
      </c>
      <c r="I652" s="24"/>
      <c r="J652" s="24"/>
      <c r="K652" s="39">
        <f>SUMIF('Composição dos serv'!A:A,B652,'Composição dos serv'!K:K)</f>
        <v>0.15000000000000002</v>
      </c>
      <c r="L652" s="40">
        <f t="shared" si="172"/>
        <v>0</v>
      </c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</row>
    <row r="653" spans="1:23" ht="25.5" hidden="1" customHeight="1">
      <c r="A653" s="26" t="str">
        <f>A650</f>
        <v>D17.4</v>
      </c>
      <c r="B653" s="26" t="s">
        <v>145</v>
      </c>
      <c r="C653" s="37" t="str">
        <f>VLOOKUP(B653,'Composição dos serv'!A:I,3,FALSE)</f>
        <v>Parede em Lambril de madeira - área construída</v>
      </c>
      <c r="D653" s="26" t="str">
        <f>VLOOKUP(B653,'Composição dos serv'!A:I,4,FALSE)</f>
        <v>m²</v>
      </c>
      <c r="E653" s="37"/>
      <c r="F653" s="37">
        <f>ROUNDUP(E653*4*0.12,2)</f>
        <v>0</v>
      </c>
      <c r="G653" s="38">
        <f>SUMIF('Composição dos serv'!A:A,B653,'Composição dos serv'!I:I)</f>
        <v>0</v>
      </c>
      <c r="H653" s="38">
        <f t="shared" si="176"/>
        <v>0</v>
      </c>
      <c r="I653" s="24"/>
      <c r="J653" s="24"/>
      <c r="K653" s="39">
        <f>SUMIF('Composição dos serv'!A:A,B653,'Composição dos serv'!K:K)</f>
        <v>0.35000000000000009</v>
      </c>
      <c r="L653" s="40">
        <f t="shared" si="172"/>
        <v>0</v>
      </c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</row>
    <row r="654" spans="1:23" ht="25.5" customHeight="1">
      <c r="A654" s="33" t="str">
        <f>CONCATENATE(A635,".5")</f>
        <v>D17.5</v>
      </c>
      <c r="B654" s="33" t="s">
        <v>153</v>
      </c>
      <c r="C654" s="34" t="str">
        <f>VLOOKUP(B654,'Composição dos serv'!A:I,3,FALSE)</f>
        <v>PISO E FUNDAÇÃO</v>
      </c>
      <c r="D654" s="35"/>
      <c r="E654" s="35"/>
      <c r="F654" s="35"/>
      <c r="G654" s="35"/>
      <c r="H654" s="36"/>
      <c r="I654" s="24"/>
      <c r="J654" s="24"/>
      <c r="K654" s="39">
        <f>SUMIF('Composição dos serv'!A:A,B654,'Composição dos serv'!K:K)</f>
        <v>0</v>
      </c>
      <c r="L654" s="40">
        <f t="shared" si="172"/>
        <v>0</v>
      </c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</row>
    <row r="655" spans="1:23" ht="25.5" hidden="1" customHeight="1">
      <c r="A655" s="26" t="str">
        <f>A654</f>
        <v>D17.5</v>
      </c>
      <c r="B655" s="26" t="s">
        <v>155</v>
      </c>
      <c r="C655" s="37" t="str">
        <f>VLOOKUP(B655,'Composição dos serv'!A:I,3,FALSE)</f>
        <v>Piso da edificação com fundação</v>
      </c>
      <c r="D655" s="26" t="str">
        <f>VLOOKUP(B655,'Composição dos serv'!A:I,4,FALSE)</f>
        <v>m²</v>
      </c>
      <c r="E655" s="37"/>
      <c r="F655" s="37">
        <f>ROUNDUP(E655*0.24,2)</f>
        <v>0</v>
      </c>
      <c r="G655" s="38">
        <f>SUMIF('Composição dos serv'!A:A,B655,'Composição dos serv'!I:I)</f>
        <v>0</v>
      </c>
      <c r="H655" s="38">
        <f>E655*G655</f>
        <v>0</v>
      </c>
      <c r="I655" s="24"/>
      <c r="J655" s="24"/>
      <c r="K655" s="39">
        <f>SUMIF('Composição dos serv'!A:A,B655,'Composição dos serv'!K:K)</f>
        <v>0.17</v>
      </c>
      <c r="L655" s="40">
        <f t="shared" si="172"/>
        <v>0</v>
      </c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</row>
    <row r="656" spans="1:23" ht="25.5" customHeight="1">
      <c r="A656" s="33" t="str">
        <f>CONCATENATE(A635,".6")</f>
        <v>D17.6</v>
      </c>
      <c r="B656" s="33" t="s">
        <v>161</v>
      </c>
      <c r="C656" s="48" t="str">
        <f>VLOOKUP(B656,'Composição dos serv'!A:I,3,FALSE)</f>
        <v>ESTRUTURAS DIVERSAS</v>
      </c>
      <c r="D656" s="48"/>
      <c r="E656" s="48"/>
      <c r="F656" s="48"/>
      <c r="G656" s="48"/>
      <c r="H656" s="48"/>
      <c r="I656" s="24"/>
      <c r="J656" s="24"/>
      <c r="K656" s="39">
        <f>SUMIF('Composição dos serv'!A:A,B656,'Composição dos serv'!K:K)</f>
        <v>0</v>
      </c>
      <c r="L656" s="40">
        <f t="shared" si="172"/>
        <v>0</v>
      </c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</row>
    <row r="657" spans="1:23" ht="25.5" hidden="1" customHeight="1">
      <c r="A657" s="26" t="str">
        <f>A656</f>
        <v>D17.6</v>
      </c>
      <c r="B657" s="26" t="s">
        <v>163</v>
      </c>
      <c r="C657" s="37" t="str">
        <f>VLOOKUP(B657,'Composição dos serv'!A:I,3,FALSE)</f>
        <v>Escada em concreto com corrimão</v>
      </c>
      <c r="D657" s="26" t="str">
        <f>VLOOKUP(B657,'Composição dos serv'!A:I,4,FALSE)</f>
        <v>m</v>
      </c>
      <c r="E657" s="49"/>
      <c r="F657" s="37">
        <f>ROUNDUP(E657*1.2*0.25,2)</f>
        <v>0</v>
      </c>
      <c r="G657" s="38">
        <f>SUMIF('Composição dos serv'!A:A,B657,'Composição dos serv'!I:I)</f>
        <v>0</v>
      </c>
      <c r="H657" s="38">
        <f t="shared" ref="H657:H660" si="177">E657*G657</f>
        <v>0</v>
      </c>
      <c r="I657" s="24"/>
      <c r="J657" s="24"/>
      <c r="K657" s="39">
        <f>SUMIF('Composição dos serv'!A:A,B657,'Composição dos serv'!K:K)</f>
        <v>0.39</v>
      </c>
      <c r="L657" s="40">
        <f t="shared" si="172"/>
        <v>0</v>
      </c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</row>
    <row r="658" spans="1:23" ht="25.5" customHeight="1">
      <c r="A658" s="26" t="str">
        <f>A656</f>
        <v>D17.6</v>
      </c>
      <c r="B658" s="26" t="s">
        <v>169</v>
      </c>
      <c r="C658" s="37" t="str">
        <f>VLOOKUP(B658,'Composição dos serv'!A:I,3,FALSE)</f>
        <v>Entrada de Energia - medidor</v>
      </c>
      <c r="D658" s="26" t="str">
        <f>VLOOKUP(B658,'Composição dos serv'!A:I,4,FALSE)</f>
        <v>un</v>
      </c>
      <c r="E658" s="37">
        <v>1</v>
      </c>
      <c r="F658" s="37">
        <f>ROUNDUP(E658*(3.2+(((3.1415*0.4^2)/4)*6)),2)</f>
        <v>3.96</v>
      </c>
      <c r="G658" s="38">
        <f>SUMIF('Composição dos serv'!A:A,B658,'Composição dos serv'!I:I)</f>
        <v>0</v>
      </c>
      <c r="H658" s="38">
        <f t="shared" si="177"/>
        <v>0</v>
      </c>
      <c r="I658" s="24"/>
      <c r="J658" s="24"/>
      <c r="K658" s="39">
        <f>SUMIF('Composição dos serv'!A:A,B658,'Composição dos serv'!K:K)</f>
        <v>1.7600000000000002</v>
      </c>
      <c r="L658" s="40">
        <f t="shared" si="172"/>
        <v>2</v>
      </c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</row>
    <row r="659" spans="1:23" ht="25.5" customHeight="1">
      <c r="A659" s="26" t="str">
        <f>A656</f>
        <v>D17.6</v>
      </c>
      <c r="B659" s="26" t="s">
        <v>183</v>
      </c>
      <c r="C659" s="37" t="str">
        <f>VLOOKUP(B659,'Composição dos serv'!A:I,3,FALSE)</f>
        <v>Hidrômetro com abrigo</v>
      </c>
      <c r="D659" s="26" t="str">
        <f>VLOOKUP(B659,'Composição dos serv'!A:I,4,FALSE)</f>
        <v>un</v>
      </c>
      <c r="E659" s="37">
        <v>1</v>
      </c>
      <c r="F659" s="37">
        <f>ROUNDUP(E659*(1.7+0.1),2)</f>
        <v>1.8</v>
      </c>
      <c r="G659" s="38">
        <f>SUMIF('Composição dos serv'!A:A,B659,'Composição dos serv'!I:I)</f>
        <v>0</v>
      </c>
      <c r="H659" s="38">
        <f t="shared" si="177"/>
        <v>0</v>
      </c>
      <c r="I659" s="24"/>
      <c r="J659" s="24"/>
      <c r="K659" s="39">
        <f>SUMIF('Composição dos serv'!A:A,B659,'Composição dos serv'!K:K)</f>
        <v>0.44000000000000006</v>
      </c>
      <c r="L659" s="40">
        <f t="shared" si="172"/>
        <v>1</v>
      </c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</row>
    <row r="660" spans="1:23" ht="25.5" customHeight="1">
      <c r="A660" s="26" t="str">
        <f>A658</f>
        <v>D17.6</v>
      </c>
      <c r="B660" s="26" t="s">
        <v>191</v>
      </c>
      <c r="C660" s="37" t="str">
        <f>VLOOKUP(B660,'Composição dos serv'!A:I,3,FALSE)</f>
        <v>Aterro de Fossa com retirada de tampa</v>
      </c>
      <c r="D660" s="26" t="str">
        <f>VLOOKUP(B660,'Composição dos serv'!A:I,4,FALSE)</f>
        <v>un</v>
      </c>
      <c r="E660" s="37">
        <v>1</v>
      </c>
      <c r="F660" s="37">
        <f>ROUNDUP(E660*(0.4),2)</f>
        <v>0.4</v>
      </c>
      <c r="G660" s="38">
        <f>SUMIF('Composição dos serv'!A:A,B660,'Composição dos serv'!I:I)</f>
        <v>0</v>
      </c>
      <c r="H660" s="38">
        <f t="shared" si="177"/>
        <v>0</v>
      </c>
      <c r="I660" s="24"/>
      <c r="J660" s="24"/>
      <c r="K660" s="39">
        <f>SUMIF('Composição dos serv'!A:A,B660,'Composição dos serv'!K:K)</f>
        <v>0.85000000000000009</v>
      </c>
      <c r="L660" s="40">
        <f t="shared" si="172"/>
        <v>1</v>
      </c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</row>
    <row r="661" spans="1:23" ht="25.5" customHeight="1">
      <c r="A661" s="33" t="str">
        <f>CONCATENATE(A635,".7")</f>
        <v>D17.7</v>
      </c>
      <c r="B661" s="33" t="s">
        <v>195</v>
      </c>
      <c r="C661" s="48" t="str">
        <f>VLOOKUP(B661,'Composição dos serv'!A:I,3,FALSE)</f>
        <v>ACABAMENTOS DIVERSOS e OUTROS</v>
      </c>
      <c r="D661" s="48"/>
      <c r="E661" s="48"/>
      <c r="F661" s="48"/>
      <c r="G661" s="48"/>
      <c r="H661" s="48"/>
      <c r="I661" s="24"/>
      <c r="J661" s="24"/>
      <c r="K661" s="39">
        <f>SUMIF('Composição dos serv'!A:A,B661,'Composição dos serv'!K:K)</f>
        <v>0</v>
      </c>
      <c r="L661" s="40">
        <f t="shared" si="172"/>
        <v>0</v>
      </c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spans="1:23" ht="25.5" customHeight="1">
      <c r="A662" s="26" t="str">
        <f>A661</f>
        <v>D17.7</v>
      </c>
      <c r="B662" s="50" t="s">
        <v>197</v>
      </c>
      <c r="C662" s="49" t="str">
        <f>VLOOKUP(B662,'Composição dos serv'!A:I,3,FALSE)</f>
        <v>Remoção de aparelhos sanitarios - por banheiro</v>
      </c>
      <c r="D662" s="50" t="str">
        <f>VLOOKUP(B662,'Composição dos serv'!A:I,4,FALSE)</f>
        <v>unid</v>
      </c>
      <c r="E662" s="49">
        <v>1</v>
      </c>
      <c r="F662" s="37">
        <f t="shared" ref="F662:F664" si="178">ROUNDUP(E662*1,2)</f>
        <v>1</v>
      </c>
      <c r="G662" s="38">
        <f>SUMIF('Composição dos serv'!A:A,B662,'Composição dos serv'!I:I)</f>
        <v>0</v>
      </c>
      <c r="H662" s="51">
        <f t="shared" ref="H662:H668" si="179">E662*G662</f>
        <v>0</v>
      </c>
      <c r="I662" s="24"/>
      <c r="J662" s="24"/>
      <c r="K662" s="39">
        <f>SUMIF('Composição dos serv'!A:A,B662,'Composição dos serv'!K:K)</f>
        <v>0.19</v>
      </c>
      <c r="L662" s="40">
        <f t="shared" si="172"/>
        <v>1</v>
      </c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spans="1:23" ht="25.5" customHeight="1">
      <c r="A663" s="26" t="str">
        <f>A661</f>
        <v>D17.7</v>
      </c>
      <c r="B663" s="50" t="s">
        <v>209</v>
      </c>
      <c r="C663" s="37" t="str">
        <f>VLOOKUP(B663,'Composição dos serv'!A:I,3,FALSE)</f>
        <v>Remoção de aparelhos sanitarios - Cozinha e Área de Serviço</v>
      </c>
      <c r="D663" s="26" t="str">
        <f>VLOOKUP(B663,'Composição dos serv'!A:I,4,FALSE)</f>
        <v>unid</v>
      </c>
      <c r="E663" s="37">
        <v>1</v>
      </c>
      <c r="F663" s="37">
        <f t="shared" si="178"/>
        <v>1</v>
      </c>
      <c r="G663" s="38">
        <f>SUMIF('Composição dos serv'!A:A,B663,'Composição dos serv'!I:I)</f>
        <v>0</v>
      </c>
      <c r="H663" s="38">
        <f t="shared" si="179"/>
        <v>0</v>
      </c>
      <c r="I663" s="24"/>
      <c r="J663" s="24"/>
      <c r="K663" s="39">
        <f>SUMIF('Composição dos serv'!A:A,B663,'Composição dos serv'!K:K)</f>
        <v>0.21</v>
      </c>
      <c r="L663" s="40">
        <f t="shared" si="172"/>
        <v>1</v>
      </c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spans="1:23" ht="25.5" customHeight="1">
      <c r="A664" s="26" t="str">
        <f>A661</f>
        <v>D17.7</v>
      </c>
      <c r="B664" s="50" t="s">
        <v>215</v>
      </c>
      <c r="C664" s="37" t="str">
        <f>VLOOKUP(B664,'Composição dos serv'!A:I,3,FALSE)</f>
        <v>Remoção de caixa d'agua</v>
      </c>
      <c r="D664" s="26" t="str">
        <f>VLOOKUP(B664,'Composição dos serv'!A:I,4,FALSE)</f>
        <v>unid</v>
      </c>
      <c r="E664" s="37">
        <v>1</v>
      </c>
      <c r="F664" s="37">
        <f t="shared" si="178"/>
        <v>1</v>
      </c>
      <c r="G664" s="38">
        <f>SUMIF('Composição dos serv'!A:A,B664,'Composição dos serv'!I:I)</f>
        <v>0</v>
      </c>
      <c r="H664" s="38">
        <f t="shared" si="179"/>
        <v>0</v>
      </c>
      <c r="I664" s="24"/>
      <c r="J664" s="24"/>
      <c r="K664" s="39">
        <f>SUMIF('Composição dos serv'!A:A,B664,'Composição dos serv'!K:K)</f>
        <v>0.42000000000000004</v>
      </c>
      <c r="L664" s="40">
        <f t="shared" si="172"/>
        <v>1</v>
      </c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spans="1:23" ht="25.5" hidden="1" customHeight="1">
      <c r="A665" s="26" t="str">
        <f>A661</f>
        <v>D17.7</v>
      </c>
      <c r="B665" s="50" t="s">
        <v>219</v>
      </c>
      <c r="C665" s="37" t="str">
        <f>VLOOKUP(B665,'Composição dos serv'!A:I,3,FALSE)</f>
        <v>Remoção do Sistema de Para raios - área do telhado</v>
      </c>
      <c r="D665" s="26" t="str">
        <f>VLOOKUP(B665,'Composição dos serv'!A:I,4,FALSE)</f>
        <v>m²</v>
      </c>
      <c r="E665" s="37"/>
      <c r="F665" s="37">
        <f>ROUNDUP(E665/60,2)</f>
        <v>0</v>
      </c>
      <c r="G665" s="38">
        <f>SUMIF('Composição dos serv'!A:A,B665,'Composição dos serv'!I:I)</f>
        <v>0</v>
      </c>
      <c r="H665" s="38">
        <f t="shared" si="179"/>
        <v>0</v>
      </c>
      <c r="I665" s="24"/>
      <c r="J665" s="24"/>
      <c r="K665" s="39">
        <f>SUMIF('Composição dos serv'!A:A,B665,'Composição dos serv'!K:K)</f>
        <v>0.05</v>
      </c>
      <c r="L665" s="40">
        <f t="shared" si="172"/>
        <v>0</v>
      </c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spans="1:23" ht="25.5" customHeight="1">
      <c r="A666" s="26" t="str">
        <f>A661</f>
        <v>D17.7</v>
      </c>
      <c r="B666" s="50" t="s">
        <v>227</v>
      </c>
      <c r="C666" s="37" t="str">
        <f>VLOOKUP(B666,'Composição dos serv'!A:I,3,FALSE)</f>
        <v>Janelas</v>
      </c>
      <c r="D666" s="26" t="str">
        <f>VLOOKUP(B666,'Composição dos serv'!A:I,4,FALSE)</f>
        <v>un</v>
      </c>
      <c r="E666" s="37">
        <v>5</v>
      </c>
      <c r="F666" s="37">
        <f>ROUNDUP(E666*1.5*1.2*0.2,2)</f>
        <v>1.8</v>
      </c>
      <c r="G666" s="38">
        <f>SUMIF('Composição dos serv'!A:A,B666,'Composição dos serv'!I:I)</f>
        <v>0</v>
      </c>
      <c r="H666" s="38">
        <f t="shared" si="179"/>
        <v>0</v>
      </c>
      <c r="I666" s="24"/>
      <c r="J666" s="24"/>
      <c r="K666" s="39">
        <f>SUMIF('Composição dos serv'!A:A,B666,'Composição dos serv'!K:K)</f>
        <v>0</v>
      </c>
      <c r="L666" s="40">
        <f t="shared" si="172"/>
        <v>0</v>
      </c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spans="1:23" ht="25.5" customHeight="1">
      <c r="A667" s="26" t="str">
        <f>A661</f>
        <v>D17.7</v>
      </c>
      <c r="B667" s="50" t="s">
        <v>234</v>
      </c>
      <c r="C667" s="37" t="str">
        <f>VLOOKUP(B667,'Composição dos serv'!A:I,3,FALSE)</f>
        <v>Portas</v>
      </c>
      <c r="D667" s="26" t="str">
        <f>VLOOKUP(B667,'Composição dos serv'!A:I,4,FALSE)</f>
        <v>un</v>
      </c>
      <c r="E667" s="37">
        <v>2</v>
      </c>
      <c r="F667" s="37">
        <f>ROUNDUP(E667*2.1*0.9*0.2,2)</f>
        <v>0.76</v>
      </c>
      <c r="G667" s="38">
        <f>SUMIF('Composição dos serv'!A:A,B667,'Composição dos serv'!I:I)</f>
        <v>0</v>
      </c>
      <c r="H667" s="38">
        <f t="shared" si="179"/>
        <v>0</v>
      </c>
      <c r="I667" s="24"/>
      <c r="J667" s="24"/>
      <c r="K667" s="39">
        <f>SUMIF('Composição dos serv'!A:A,B667,'Composição dos serv'!K:K)</f>
        <v>0</v>
      </c>
      <c r="L667" s="40">
        <f t="shared" si="172"/>
        <v>0</v>
      </c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spans="1:23" ht="25.5" hidden="1" customHeight="1">
      <c r="A668" s="26" t="str">
        <f>A661</f>
        <v>D17.7</v>
      </c>
      <c r="B668" s="50" t="s">
        <v>236</v>
      </c>
      <c r="C668" s="37" t="str">
        <f>VLOOKUP(B668,'Composição dos serv'!A:I,3,FALSE)</f>
        <v>Guarda corpo de metal</v>
      </c>
      <c r="D668" s="26" t="str">
        <f>VLOOKUP(B668,'Composição dos serv'!A:I,4,FALSE)</f>
        <v>m</v>
      </c>
      <c r="E668" s="37"/>
      <c r="F668" s="37">
        <f>ROUNDUP(E668*1.7*0.05,2)</f>
        <v>0</v>
      </c>
      <c r="G668" s="38">
        <f>SUMIF('Composição dos serv'!A:A,B668,'Composição dos serv'!I:I)</f>
        <v>0</v>
      </c>
      <c r="H668" s="38">
        <f t="shared" si="179"/>
        <v>0</v>
      </c>
      <c r="I668" s="24"/>
      <c r="J668" s="24"/>
      <c r="K668" s="39">
        <f>SUMIF('Composição dos serv'!A:A,B668,'Composição dos serv'!K:K)</f>
        <v>0</v>
      </c>
      <c r="L668" s="40">
        <f t="shared" si="172"/>
        <v>0</v>
      </c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spans="1:23" ht="25.5" customHeight="1">
      <c r="A669" s="33" t="str">
        <f>CONCATENATE(A635,".8")</f>
        <v>D17.8</v>
      </c>
      <c r="B669" s="33" t="s">
        <v>240</v>
      </c>
      <c r="C669" s="48" t="str">
        <f>VLOOKUP(B669,'Composição dos serv'!A:I,3,FALSE)</f>
        <v>ENTULHO</v>
      </c>
      <c r="D669" s="48"/>
      <c r="E669" s="48"/>
      <c r="F669" s="48"/>
      <c r="G669" s="48"/>
      <c r="H669" s="48"/>
      <c r="I669" s="24"/>
      <c r="J669" s="24"/>
      <c r="K669" s="39">
        <f>SUMIF('Composição dos serv'!A:A,B669,'Composição dos serv'!K:K)</f>
        <v>0</v>
      </c>
      <c r="L669" s="40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spans="1:23" ht="25.5" hidden="1" customHeight="1">
      <c r="A670" s="26" t="str">
        <f>A669</f>
        <v>D17.8</v>
      </c>
      <c r="B670" s="50" t="s">
        <v>242</v>
      </c>
      <c r="C670" s="49" t="str">
        <f>VLOOKUP(B670,'Composição dos serv'!A:I,3,FALSE)</f>
        <v>Transporte e espalhamento Manual do entulho a ser reutilizado</v>
      </c>
      <c r="D670" s="50" t="s">
        <v>291</v>
      </c>
      <c r="E670" s="49"/>
      <c r="F670" s="52">
        <f>IF(E670=1,ROUNDUP((IF(E638&lt;&gt;"",F638,0)+IF(E639&lt;&gt;"",F639,0)+IF(E641&lt;&gt;"",F641,0)+IF(E642&lt;&gt;"",F642*0.34,0)+IF(E645&lt;&gt;"",F645*0.43,0)+IF(E648&lt;&gt;"",F648*0.8,0)+IF(E651&lt;&gt;"",F651*(0.78),0)+IF(E655&lt;&gt;"",F655*0.98,0)+IF(E657&lt;&gt;"",F657*0.91,0)+IF(E658&lt;&gt;"",F658*0.26,0)+IF(E659&lt;&gt;"",F659*0.24,0)+IF(E660&lt;&gt;"",F660,0)),2),0)</f>
        <v>0</v>
      </c>
      <c r="G670" s="51">
        <f>SUMIF('Composição dos serv'!A:A,B670,'Composição dos serv'!I:I)</f>
        <v>0</v>
      </c>
      <c r="H670" s="51">
        <f t="shared" ref="H670:H671" si="180">F670*G670</f>
        <v>0</v>
      </c>
      <c r="I670" s="24"/>
      <c r="J670" s="24"/>
      <c r="K670" s="39">
        <f>SUMIF('Composição dos serv'!A:A,B670,'Composição dos serv'!K:K)</f>
        <v>0.15000000000000002</v>
      </c>
      <c r="L670" s="40">
        <f t="shared" ref="L670:L673" si="181">ROUNDUP(K670*F670,0)</f>
        <v>0</v>
      </c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spans="1:23" ht="25.5" hidden="1" customHeight="1">
      <c r="A671" s="26" t="str">
        <f>A669</f>
        <v>D17.8</v>
      </c>
      <c r="B671" s="50" t="s">
        <v>246</v>
      </c>
      <c r="C671" s="49" t="str">
        <f>VLOOKUP(B671,'Composição dos serv'!A:I,3,FALSE)</f>
        <v>Remoção e Transporte Mecanizado do entulho a ser reutilizado</v>
      </c>
      <c r="D671" s="50" t="s">
        <v>291</v>
      </c>
      <c r="E671" s="49"/>
      <c r="F671" s="52">
        <f>IF(E671=1,SUM(F638:F668)-H675,0)</f>
        <v>0</v>
      </c>
      <c r="G671" s="51">
        <f>SUMIF('Composição dos serv'!A:A,B671,'Composição dos serv'!I:I)</f>
        <v>0</v>
      </c>
      <c r="H671" s="51">
        <f t="shared" si="180"/>
        <v>0</v>
      </c>
      <c r="I671" s="24"/>
      <c r="J671" s="24"/>
      <c r="K671" s="39">
        <f>SUMIF('Composição dos serv'!A:A,B671,'Composição dos serv'!K:K)</f>
        <v>0.02</v>
      </c>
      <c r="L671" s="40">
        <f t="shared" si="181"/>
        <v>0</v>
      </c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spans="1:23" ht="25.5" hidden="1" customHeight="1">
      <c r="A672" s="26" t="str">
        <f>A669</f>
        <v>D17.8</v>
      </c>
      <c r="B672" s="50" t="s">
        <v>252</v>
      </c>
      <c r="C672" s="49" t="str">
        <f>VLOOKUP(B672,'Composição dos serv'!A:I,3,FALSE)</f>
        <v>Remoção do entulho com caçamba</v>
      </c>
      <c r="D672" s="50" t="s">
        <v>291</v>
      </c>
      <c r="E672" s="49"/>
      <c r="F672" s="52">
        <f>IF(E672=1,SUM(F638:F668),0)</f>
        <v>0</v>
      </c>
      <c r="G672" s="51">
        <f>SUMIF('Composição dos serv'!A:A,B672,'Composição dos serv'!I:I)</f>
        <v>0</v>
      </c>
      <c r="H672" s="51">
        <f>IF(E672&gt;1,"OPÇÃO ERRADA",F672*G672)+IF(G675=1,H675*G672,0)</f>
        <v>0</v>
      </c>
      <c r="I672" s="24"/>
      <c r="J672" s="24"/>
      <c r="K672" s="39">
        <f>SUMIF('Composição dos serv'!A:A,B672,'Composição dos serv'!K:K)</f>
        <v>0.02</v>
      </c>
      <c r="L672" s="40">
        <f t="shared" si="181"/>
        <v>0</v>
      </c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spans="1:26" ht="25.5" customHeight="1">
      <c r="A673" s="26" t="str">
        <f>A669</f>
        <v>D17.8</v>
      </c>
      <c r="B673" s="50" t="s">
        <v>256</v>
      </c>
      <c r="C673" s="49" t="str">
        <f>VLOOKUP(B673,'Composição dos serv'!A:I,3,FALSE)</f>
        <v>Remoção e Transporte Mecanizado do entulho para bota fora</v>
      </c>
      <c r="D673" s="50" t="s">
        <v>291</v>
      </c>
      <c r="E673" s="49">
        <v>1</v>
      </c>
      <c r="F673" s="52">
        <f>IF(E673=1,SUM(F638:F668),0)</f>
        <v>465.51999999999992</v>
      </c>
      <c r="G673" s="51">
        <f>SUMIF('Composição dos serv'!A:A,B673,'Composição dos serv'!I:I)</f>
        <v>0</v>
      </c>
      <c r="H673" s="51">
        <f>IF(E673&gt;1,"OPÇÃO ERRADA",F673*G673)+IF(G675=2,H675*G673,0)</f>
        <v>0</v>
      </c>
      <c r="I673" s="24"/>
      <c r="J673" s="24"/>
      <c r="K673" s="39">
        <f>SUMIF('Composição dos serv'!A:A,B673,'Composição dos serv'!K:K)</f>
        <v>7.9999999999999988E-2</v>
      </c>
      <c r="L673" s="40">
        <f t="shared" si="181"/>
        <v>38</v>
      </c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spans="1:26" ht="25.5" customHeight="1">
      <c r="A674" s="254" t="str">
        <f>A669</f>
        <v>D17.8</v>
      </c>
      <c r="B674" s="255" t="s">
        <v>264</v>
      </c>
      <c r="C674" s="256" t="str">
        <f>VLOOKUP(B674,'Composição dos serv'!A:I,3,FALSE)</f>
        <v>Remoção de telhas em cimento amianto</v>
      </c>
      <c r="D674" s="26" t="str">
        <f>VLOOKUP(B674,'Composição dos serv'!A:I,4,FALSE)</f>
        <v>m²</v>
      </c>
      <c r="E674" s="49">
        <f>SUM(E646:E647)</f>
        <v>444</v>
      </c>
      <c r="F674" s="52"/>
      <c r="G674" s="51">
        <f>SUMIF('Composição dos serv'!A:A,B674,'Composição dos serv'!I:I)</f>
        <v>0</v>
      </c>
      <c r="H674" s="51">
        <f>G674*E674</f>
        <v>0</v>
      </c>
      <c r="I674" s="24"/>
      <c r="J674" s="24"/>
      <c r="K674" s="39"/>
      <c r="L674" s="40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spans="1:26" ht="25.5" customHeight="1">
      <c r="A675" s="257"/>
      <c r="B675" s="257"/>
      <c r="C675" s="258" t="str">
        <f>IF(E672&lt;&gt;1,IF(E673&lt;&gt;1,IF(H675&lt;&gt;0,"Há Material não reutilizavel qual a destinação para ele?",""),""),"")</f>
        <v/>
      </c>
      <c r="D675" s="253" t="str">
        <f>IF(E672&lt;&gt;1,IF(E673&lt;&gt;1,IF(H675&lt;&gt;0,"Caçamba = 1; Aterro = 2",""),""),"")</f>
        <v/>
      </c>
      <c r="E675" s="169"/>
      <c r="F675" s="170"/>
      <c r="G675" s="37">
        <v>1</v>
      </c>
      <c r="H675" s="54">
        <f>IF(E672=1,0,IF(E673=1,0,ROUNDUP((IF(E642&lt;&gt;"",F642*0.66,0)+IF(E645&lt;&gt;"",F645*0.57,0)+IF(E647&lt;&gt;"",F647,0)+IF(E648&lt;&gt;"",F648*0.2,0)+IF(E649&lt;&gt;"",F649,0)+IF(E651&lt;&gt;"",F651*0.22,0)+IF(E652&lt;&gt;"",F652,0)+IF(E653&lt;&gt;"",F653,0)+IF(E655&lt;&gt;"",F655*0.02,0)+IF(E657&lt;&gt;"",F657*0.09,0)+IF(E658&lt;&gt;"",F658*0.74,0)+IF(E659&lt;&gt;"",F659*(1-0.24),0)+IF(E662&lt;&gt;"",F662,0)+IF(E663&lt;&gt;"",F663,0)+IF(E664&lt;&gt;"",F664,0)+IF(E665&lt;&gt;"",F665,0)+IF(E666&lt;&gt;"",F666,0)+IF(E667&lt;&gt;"",F667,0)+IF(E668&lt;&gt;"",F668,0)+IF(E646&lt;&gt;"",F646,0)+IF(E644&lt;&gt;"",F644,0)),2)))</f>
        <v>0</v>
      </c>
      <c r="I675" s="24"/>
      <c r="J675" s="24"/>
      <c r="K675" s="39"/>
      <c r="L675" s="40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spans="1:26" ht="25.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39">
        <f>SUMIF('Composição dos serv'!A:A,'PESM Itutinga Piloes pt1'!B676,'Composição dos serv'!K:K)</f>
        <v>0</v>
      </c>
      <c r="L676" s="40">
        <f>ROUNDUP(K676*E676,0)</f>
        <v>0</v>
      </c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25.5" customHeight="1">
      <c r="A677" s="104" t="str">
        <f>A635</f>
        <v>D17</v>
      </c>
      <c r="B677" s="171" t="str">
        <f>C635</f>
        <v>EDIFICAÇÃO 15 - Gleba D17</v>
      </c>
      <c r="C677" s="169"/>
      <c r="D677" s="172" t="s">
        <v>280</v>
      </c>
      <c r="E677" s="169"/>
      <c r="F677" s="169"/>
      <c r="G677" s="106">
        <f>SUM(H638:H674)</f>
        <v>0</v>
      </c>
      <c r="H677" s="107"/>
      <c r="I677" s="24"/>
      <c r="J677" s="24"/>
      <c r="K677" s="39">
        <f>IF(SUM(L670:L673)&gt;SUM(L638:L668),SUM(L670:L673),SUM(L638:L668))</f>
        <v>117</v>
      </c>
      <c r="L677" s="40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spans="1:26" ht="25.5" customHeight="1">
      <c r="I678" s="24"/>
      <c r="J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spans="1:26" ht="25.5" customHeight="1">
      <c r="I679" s="24"/>
      <c r="J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spans="1:26" ht="25.5" customHeight="1">
      <c r="I680" s="24"/>
      <c r="J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spans="1:26" ht="25.5" customHeight="1">
      <c r="I681" s="24"/>
      <c r="J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spans="1:26" ht="25.5" customHeight="1">
      <c r="I682" s="24"/>
      <c r="J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spans="1:26" ht="25.5" customHeight="1">
      <c r="I683" s="24"/>
      <c r="J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spans="1:26" ht="25.5" customHeight="1">
      <c r="I684" s="24"/>
      <c r="J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spans="1:26" ht="25.5" customHeight="1">
      <c r="I685" s="24"/>
      <c r="J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spans="1:26" ht="25.5" customHeight="1">
      <c r="I686" s="24"/>
      <c r="J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spans="1:26" ht="25.5" customHeight="1">
      <c r="I687" s="24"/>
      <c r="J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spans="1:26" ht="25.5" customHeight="1">
      <c r="I688" s="24"/>
      <c r="J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spans="9:23" ht="25.5" customHeight="1">
      <c r="I689" s="24"/>
      <c r="J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spans="9:23" ht="25.5" customHeight="1">
      <c r="I690" s="24"/>
      <c r="J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spans="9:23" ht="25.5" customHeight="1">
      <c r="I691" s="24"/>
      <c r="J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spans="9:23" ht="25.5" customHeight="1">
      <c r="I692" s="24"/>
      <c r="J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spans="9:23" ht="25.5" customHeight="1">
      <c r="I693" s="24"/>
      <c r="J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spans="9:23" ht="25.5" customHeight="1">
      <c r="I694" s="24"/>
      <c r="J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spans="9:23" ht="25.5" customHeight="1">
      <c r="I695" s="24"/>
      <c r="J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</row>
    <row r="696" spans="9:23" ht="25.5" customHeight="1">
      <c r="I696" s="24"/>
      <c r="J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spans="9:23" ht="25.5" customHeight="1">
      <c r="I697" s="24"/>
      <c r="J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spans="9:23" ht="25.5" customHeight="1">
      <c r="I698" s="24"/>
      <c r="J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spans="9:23" ht="25.5" customHeight="1">
      <c r="I699" s="24"/>
      <c r="J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</row>
    <row r="700" spans="9:23" ht="25.5" customHeight="1">
      <c r="I700" s="24"/>
      <c r="J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spans="9:23" ht="25.5" customHeight="1">
      <c r="I701" s="24"/>
      <c r="J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spans="9:23" ht="25.5" customHeight="1">
      <c r="I702" s="24"/>
      <c r="J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spans="9:23" ht="25.5" customHeight="1">
      <c r="I703" s="24"/>
      <c r="J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</row>
    <row r="704" spans="9:23" ht="25.5" customHeight="1">
      <c r="I704" s="24"/>
      <c r="J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spans="9:23" ht="25.5" customHeight="1">
      <c r="I705" s="24"/>
      <c r="J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spans="9:23" ht="25.5" customHeight="1">
      <c r="I706" s="24"/>
      <c r="J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spans="9:23" ht="25.5" customHeight="1">
      <c r="I707" s="24"/>
      <c r="J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</row>
    <row r="708" spans="9:23" ht="25.5" customHeight="1">
      <c r="I708" s="24"/>
      <c r="J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spans="9:23" ht="25.5" customHeight="1">
      <c r="I709" s="24"/>
      <c r="J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spans="9:23" ht="25.5" customHeight="1">
      <c r="I710" s="24"/>
      <c r="J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spans="9:23" ht="25.5" customHeight="1">
      <c r="I711" s="24"/>
      <c r="J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</row>
    <row r="712" spans="9:23" ht="25.5" customHeight="1">
      <c r="I712" s="24"/>
      <c r="J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spans="9:23" ht="25.5" customHeight="1">
      <c r="I713" s="24"/>
      <c r="J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spans="9:23" ht="25.5" customHeight="1">
      <c r="I714" s="24"/>
      <c r="J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spans="9:23" ht="25.5" customHeight="1">
      <c r="I715" s="24"/>
      <c r="J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</row>
    <row r="716" spans="9:23" ht="25.5" customHeight="1">
      <c r="I716" s="24"/>
      <c r="J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</row>
    <row r="717" spans="9:23" ht="25.5" customHeight="1">
      <c r="I717" s="24"/>
      <c r="J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</row>
    <row r="718" spans="9:23" ht="25.5" customHeight="1">
      <c r="I718" s="24"/>
      <c r="J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</row>
    <row r="719" spans="9:23" ht="25.5" customHeight="1">
      <c r="I719" s="24"/>
      <c r="J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</row>
    <row r="720" spans="9:23" ht="25.5" customHeight="1">
      <c r="I720" s="24"/>
      <c r="J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</row>
    <row r="721" spans="9:23" ht="25.5" customHeight="1">
      <c r="I721" s="24"/>
      <c r="J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</row>
    <row r="722" spans="9:23" ht="25.5" customHeight="1">
      <c r="I722" s="24"/>
      <c r="J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</row>
    <row r="723" spans="9:23" ht="25.5" customHeight="1">
      <c r="I723" s="24"/>
      <c r="J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</row>
    <row r="724" spans="9:23" ht="25.5" customHeight="1">
      <c r="I724" s="24"/>
      <c r="J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</row>
    <row r="725" spans="9:23" ht="25.5" customHeight="1">
      <c r="I725" s="24"/>
      <c r="J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</row>
    <row r="726" spans="9:23" ht="25.5" customHeight="1">
      <c r="I726" s="24"/>
      <c r="J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</row>
    <row r="727" spans="9:23" ht="25.5" customHeight="1">
      <c r="I727" s="24"/>
      <c r="J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</row>
    <row r="728" spans="9:23" ht="25.5" customHeight="1">
      <c r="I728" s="24"/>
      <c r="J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</row>
    <row r="729" spans="9:23" ht="25.5" customHeight="1">
      <c r="I729" s="24"/>
      <c r="J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</row>
    <row r="730" spans="9:23" ht="25.5" customHeight="1">
      <c r="I730" s="24"/>
      <c r="J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</row>
    <row r="731" spans="9:23" ht="25.5" customHeight="1">
      <c r="I731" s="24"/>
      <c r="J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</row>
    <row r="732" spans="9:23" ht="25.5" customHeight="1">
      <c r="I732" s="24"/>
      <c r="J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</row>
    <row r="733" spans="9:23" ht="25.5" customHeight="1">
      <c r="I733" s="24"/>
      <c r="J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</row>
    <row r="734" spans="9:23" ht="25.5" customHeight="1">
      <c r="I734" s="24"/>
      <c r="J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</row>
    <row r="735" spans="9:23" ht="25.5" customHeight="1">
      <c r="I735" s="24"/>
      <c r="J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</row>
    <row r="736" spans="9:23" ht="25.5" customHeight="1">
      <c r="I736" s="24"/>
      <c r="J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</row>
    <row r="737" spans="9:23" ht="25.5" customHeight="1">
      <c r="I737" s="24"/>
      <c r="J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</row>
    <row r="738" spans="9:23" ht="25.5" customHeight="1">
      <c r="I738" s="24"/>
      <c r="J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</row>
    <row r="739" spans="9:23" ht="25.5" customHeight="1">
      <c r="I739" s="24"/>
      <c r="J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</row>
    <row r="740" spans="9:23" ht="25.5" customHeight="1">
      <c r="I740" s="24"/>
      <c r="J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</row>
    <row r="741" spans="9:23" ht="25.5" customHeight="1">
      <c r="I741" s="24"/>
      <c r="J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</row>
    <row r="742" spans="9:23" ht="25.5" customHeight="1">
      <c r="I742" s="24"/>
      <c r="J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</row>
    <row r="743" spans="9:23" ht="25.5" customHeight="1">
      <c r="I743" s="24"/>
      <c r="J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</row>
    <row r="744" spans="9:23" ht="25.5" customHeight="1">
      <c r="I744" s="24"/>
      <c r="J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</row>
    <row r="745" spans="9:23" ht="25.5" customHeight="1">
      <c r="I745" s="24"/>
      <c r="J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</row>
    <row r="746" spans="9:23" ht="25.5" customHeight="1">
      <c r="I746" s="24"/>
      <c r="J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</row>
    <row r="747" spans="9:23" ht="25.5" customHeight="1">
      <c r="I747" s="24"/>
      <c r="J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</row>
    <row r="748" spans="9:23" ht="25.5" customHeight="1">
      <c r="I748" s="24"/>
      <c r="J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</row>
    <row r="749" spans="9:23" ht="25.5" customHeight="1">
      <c r="I749" s="24"/>
      <c r="J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</row>
    <row r="750" spans="9:23" ht="25.5" customHeight="1">
      <c r="I750" s="24"/>
      <c r="J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</row>
    <row r="751" spans="9:23" ht="25.5" customHeight="1">
      <c r="I751" s="24"/>
      <c r="J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</row>
    <row r="752" spans="9:23" ht="25.5" customHeight="1">
      <c r="I752" s="24"/>
      <c r="J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</row>
    <row r="753" spans="9:23" ht="25.5" customHeight="1">
      <c r="I753" s="24"/>
      <c r="J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</row>
    <row r="754" spans="9:23" ht="25.5" customHeight="1">
      <c r="I754" s="24"/>
      <c r="J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</row>
    <row r="755" spans="9:23" ht="25.5" customHeight="1">
      <c r="I755" s="24"/>
      <c r="J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</row>
    <row r="756" spans="9:23" ht="25.5" customHeight="1">
      <c r="I756" s="24"/>
      <c r="J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</row>
    <row r="757" spans="9:23" ht="25.5" customHeight="1">
      <c r="I757" s="24"/>
      <c r="J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</row>
    <row r="758" spans="9:23" ht="25.5" customHeight="1">
      <c r="I758" s="24"/>
      <c r="J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</row>
    <row r="759" spans="9:23" ht="25.5" customHeight="1">
      <c r="I759" s="24"/>
      <c r="J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</row>
    <row r="760" spans="9:23" ht="25.5" customHeight="1">
      <c r="I760" s="24"/>
      <c r="J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</row>
    <row r="761" spans="9:23" ht="25.5" customHeight="1">
      <c r="I761" s="24"/>
      <c r="J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</row>
    <row r="762" spans="9:23" ht="25.5" customHeight="1">
      <c r="I762" s="24"/>
      <c r="J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</row>
    <row r="763" spans="9:23" ht="25.5" customHeight="1">
      <c r="I763" s="24"/>
      <c r="J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</row>
    <row r="764" spans="9:23" ht="25.5" customHeight="1">
      <c r="I764" s="24"/>
      <c r="J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</row>
    <row r="765" spans="9:23" ht="25.5" customHeight="1">
      <c r="I765" s="24"/>
      <c r="J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</row>
    <row r="766" spans="9:23" ht="25.5" customHeight="1">
      <c r="I766" s="24"/>
      <c r="J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</row>
    <row r="767" spans="9:23" ht="25.5" customHeight="1">
      <c r="I767" s="24"/>
      <c r="J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</row>
    <row r="768" spans="9:23" ht="25.5" customHeight="1">
      <c r="I768" s="24"/>
      <c r="J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</row>
    <row r="769" spans="9:23" ht="25.5" customHeight="1">
      <c r="I769" s="24"/>
      <c r="J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</row>
    <row r="770" spans="9:23" ht="25.5" customHeight="1">
      <c r="I770" s="24"/>
      <c r="J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</row>
    <row r="771" spans="9:23" ht="25.5" customHeight="1">
      <c r="I771" s="24"/>
      <c r="J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</row>
    <row r="772" spans="9:23" ht="25.5" customHeight="1">
      <c r="I772" s="24"/>
      <c r="J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</row>
    <row r="773" spans="9:23" ht="25.5" customHeight="1">
      <c r="I773" s="24"/>
      <c r="J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</row>
    <row r="774" spans="9:23" ht="25.5" customHeight="1">
      <c r="I774" s="24"/>
      <c r="J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</row>
    <row r="775" spans="9:23" ht="25.5" customHeight="1">
      <c r="I775" s="24"/>
      <c r="J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</row>
    <row r="776" spans="9:23" ht="25.5" customHeight="1">
      <c r="I776" s="24"/>
      <c r="J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</row>
    <row r="777" spans="9:23" ht="25.5" customHeight="1">
      <c r="I777" s="24"/>
      <c r="J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</row>
    <row r="778" spans="9:23" ht="25.5" customHeight="1">
      <c r="I778" s="24"/>
      <c r="J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</row>
    <row r="779" spans="9:23" ht="25.5" customHeight="1">
      <c r="I779" s="24"/>
      <c r="J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</row>
    <row r="780" spans="9:23" ht="25.5" customHeight="1">
      <c r="I780" s="24"/>
      <c r="J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</row>
    <row r="781" spans="9:23" ht="25.5" customHeight="1">
      <c r="I781" s="24"/>
      <c r="J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</row>
    <row r="782" spans="9:23" ht="25.5" customHeight="1">
      <c r="I782" s="24"/>
      <c r="J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</row>
    <row r="783" spans="9:23" ht="25.5" customHeight="1">
      <c r="I783" s="24"/>
      <c r="J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</row>
    <row r="784" spans="9:23" ht="25.5" customHeight="1">
      <c r="I784" s="24"/>
      <c r="J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</row>
    <row r="785" spans="9:23" ht="25.5" customHeight="1">
      <c r="I785" s="24"/>
      <c r="J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</row>
    <row r="786" spans="9:23" ht="25.5" customHeight="1">
      <c r="I786" s="24"/>
      <c r="J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</row>
    <row r="787" spans="9:23" ht="25.5" customHeight="1">
      <c r="I787" s="24"/>
      <c r="J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</row>
    <row r="788" spans="9:23" ht="25.5" customHeight="1">
      <c r="I788" s="24"/>
      <c r="J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</row>
    <row r="789" spans="9:23" ht="25.5" customHeight="1">
      <c r="I789" s="24"/>
      <c r="J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</row>
    <row r="790" spans="9:23" ht="25.5" customHeight="1">
      <c r="I790" s="24"/>
      <c r="J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</row>
    <row r="791" spans="9:23" ht="25.5" customHeight="1">
      <c r="I791" s="24"/>
      <c r="J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</row>
    <row r="792" spans="9:23" ht="25.5" customHeight="1">
      <c r="I792" s="24"/>
      <c r="J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</row>
    <row r="793" spans="9:23" ht="25.5" customHeight="1">
      <c r="I793" s="24"/>
      <c r="J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</row>
    <row r="794" spans="9:23" ht="25.5" customHeight="1">
      <c r="I794" s="24"/>
      <c r="J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</row>
    <row r="795" spans="9:23" ht="25.5" customHeight="1">
      <c r="I795" s="24"/>
      <c r="J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</row>
    <row r="796" spans="9:23" ht="25.5" customHeight="1">
      <c r="I796" s="24"/>
      <c r="J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</row>
    <row r="797" spans="9:23" ht="25.5" customHeight="1">
      <c r="I797" s="24"/>
      <c r="J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</row>
    <row r="798" spans="9:23" ht="25.5" customHeight="1">
      <c r="I798" s="24"/>
      <c r="J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</row>
    <row r="799" spans="9:23" ht="25.5" customHeight="1">
      <c r="I799" s="24"/>
      <c r="J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</row>
    <row r="800" spans="9:23" ht="25.5" customHeight="1">
      <c r="I800" s="24"/>
      <c r="J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</row>
    <row r="801" spans="9:23" ht="25.5" customHeight="1">
      <c r="I801" s="24"/>
      <c r="J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</row>
    <row r="802" spans="9:23" ht="25.5" customHeight="1">
      <c r="I802" s="24"/>
      <c r="J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</row>
    <row r="803" spans="9:23" ht="25.5" customHeight="1">
      <c r="I803" s="24"/>
      <c r="J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</row>
    <row r="804" spans="9:23" ht="25.5" customHeight="1">
      <c r="I804" s="24"/>
      <c r="J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</row>
    <row r="805" spans="9:23" ht="25.5" customHeight="1">
      <c r="I805" s="24"/>
      <c r="J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</row>
    <row r="806" spans="9:23" ht="25.5" customHeight="1">
      <c r="I806" s="24"/>
      <c r="J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</row>
    <row r="807" spans="9:23" ht="25.5" customHeight="1">
      <c r="I807" s="24"/>
      <c r="J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</row>
    <row r="808" spans="9:23" ht="25.5" customHeight="1">
      <c r="I808" s="24"/>
      <c r="J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</row>
    <row r="809" spans="9:23" ht="25.5" customHeight="1">
      <c r="I809" s="24"/>
      <c r="J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</row>
    <row r="810" spans="9:23" ht="25.5" customHeight="1">
      <c r="I810" s="24"/>
      <c r="J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</row>
    <row r="811" spans="9:23" ht="25.5" customHeight="1">
      <c r="I811" s="24"/>
      <c r="J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</row>
    <row r="812" spans="9:23" ht="25.5" customHeight="1">
      <c r="I812" s="24"/>
      <c r="J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</row>
    <row r="813" spans="9:23" ht="25.5" customHeight="1">
      <c r="I813" s="24"/>
      <c r="J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</row>
    <row r="814" spans="9:23" ht="25.5" customHeight="1">
      <c r="I814" s="24"/>
      <c r="J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</row>
    <row r="815" spans="9:23" ht="25.5" customHeight="1">
      <c r="I815" s="24"/>
      <c r="J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</row>
    <row r="816" spans="9:23" ht="25.5" customHeight="1">
      <c r="I816" s="24"/>
      <c r="J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</row>
    <row r="817" spans="9:23" ht="25.5" customHeight="1">
      <c r="I817" s="24"/>
      <c r="J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</row>
    <row r="818" spans="9:23" ht="25.5" customHeight="1">
      <c r="I818" s="24"/>
      <c r="J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</row>
    <row r="819" spans="9:23" ht="25.5" customHeight="1">
      <c r="I819" s="24"/>
      <c r="J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</row>
    <row r="820" spans="9:23" ht="25.5" customHeight="1">
      <c r="I820" s="24"/>
      <c r="J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</row>
    <row r="821" spans="9:23" ht="25.5" customHeight="1">
      <c r="I821" s="24"/>
      <c r="J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</row>
    <row r="822" spans="9:23" ht="25.5" customHeight="1">
      <c r="I822" s="24"/>
      <c r="J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</row>
    <row r="823" spans="9:23" ht="25.5" customHeight="1">
      <c r="I823" s="24"/>
      <c r="J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</row>
    <row r="824" spans="9:23" ht="25.5" customHeight="1">
      <c r="I824" s="24"/>
      <c r="J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</row>
    <row r="825" spans="9:23" ht="25.5" customHeight="1">
      <c r="I825" s="24"/>
      <c r="J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</row>
    <row r="826" spans="9:23" ht="25.5" customHeight="1">
      <c r="I826" s="24"/>
      <c r="J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</row>
    <row r="827" spans="9:23" ht="25.5" customHeight="1">
      <c r="I827" s="24"/>
      <c r="J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</row>
    <row r="828" spans="9:23" ht="25.5" customHeight="1">
      <c r="I828" s="24"/>
      <c r="J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</row>
    <row r="829" spans="9:23" ht="25.5" customHeight="1">
      <c r="I829" s="24"/>
      <c r="J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</row>
    <row r="830" spans="9:23" ht="25.5" customHeight="1">
      <c r="I830" s="24"/>
      <c r="J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</row>
    <row r="831" spans="9:23" ht="25.5" customHeight="1">
      <c r="I831" s="24"/>
      <c r="J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</row>
    <row r="832" spans="9:23" ht="25.5" customHeight="1">
      <c r="I832" s="24"/>
      <c r="J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</row>
    <row r="833" spans="9:23" ht="25.5" customHeight="1">
      <c r="I833" s="24"/>
      <c r="J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</row>
    <row r="834" spans="9:23" ht="25.5" customHeight="1">
      <c r="I834" s="24"/>
      <c r="J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</row>
    <row r="835" spans="9:23" ht="25.5" customHeight="1">
      <c r="I835" s="24"/>
      <c r="J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</row>
    <row r="836" spans="9:23" ht="25.5" customHeight="1">
      <c r="I836" s="24"/>
      <c r="J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</row>
    <row r="837" spans="9:23" ht="25.5" customHeight="1">
      <c r="I837" s="24"/>
      <c r="J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</row>
    <row r="838" spans="9:23" ht="25.5" customHeight="1">
      <c r="I838" s="24"/>
      <c r="J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</row>
    <row r="839" spans="9:23" ht="25.5" customHeight="1">
      <c r="I839" s="24"/>
      <c r="J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</row>
    <row r="840" spans="9:23" ht="25.5" customHeight="1">
      <c r="I840" s="24"/>
      <c r="J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</row>
    <row r="841" spans="9:23" ht="25.5" customHeight="1">
      <c r="I841" s="24"/>
      <c r="J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</row>
    <row r="842" spans="9:23" ht="25.5" customHeight="1">
      <c r="I842" s="24"/>
      <c r="J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</row>
    <row r="843" spans="9:23" ht="25.5" customHeight="1">
      <c r="I843" s="24"/>
      <c r="J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</row>
    <row r="844" spans="9:23" ht="25.5" customHeight="1">
      <c r="I844" s="24"/>
      <c r="J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</row>
    <row r="845" spans="9:23" ht="25.5" customHeight="1">
      <c r="I845" s="24"/>
      <c r="J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</row>
    <row r="846" spans="9:23" ht="25.5" customHeight="1">
      <c r="I846" s="24"/>
      <c r="J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</row>
    <row r="847" spans="9:23" ht="25.5" customHeight="1">
      <c r="I847" s="24"/>
      <c r="J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</row>
    <row r="848" spans="9:23" ht="25.5" customHeight="1">
      <c r="I848" s="24"/>
      <c r="J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</row>
    <row r="849" spans="9:23" ht="25.5" customHeight="1">
      <c r="I849" s="24"/>
      <c r="J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</row>
    <row r="850" spans="9:23" ht="25.5" customHeight="1">
      <c r="I850" s="24"/>
      <c r="J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</row>
    <row r="851" spans="9:23" ht="25.5" customHeight="1">
      <c r="I851" s="24"/>
      <c r="J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</row>
    <row r="852" spans="9:23" ht="25.5" customHeight="1">
      <c r="I852" s="24"/>
      <c r="J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</row>
    <row r="853" spans="9:23" ht="25.5" customHeight="1">
      <c r="I853" s="24"/>
      <c r="J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</row>
    <row r="854" spans="9:23" ht="25.5" customHeight="1">
      <c r="I854" s="24"/>
      <c r="J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</row>
    <row r="855" spans="9:23" ht="25.5" customHeight="1">
      <c r="I855" s="24"/>
      <c r="J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</row>
    <row r="856" spans="9:23" ht="25.5" customHeight="1">
      <c r="I856" s="24"/>
      <c r="J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</row>
    <row r="857" spans="9:23" ht="25.5" customHeight="1">
      <c r="I857" s="24"/>
      <c r="J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</row>
    <row r="858" spans="9:23" ht="25.5" customHeight="1">
      <c r="I858" s="24"/>
      <c r="J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</row>
    <row r="859" spans="9:23" ht="25.5" customHeight="1">
      <c r="I859" s="24"/>
      <c r="J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</row>
    <row r="860" spans="9:23" ht="25.5" customHeight="1">
      <c r="I860" s="24"/>
      <c r="J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</row>
    <row r="861" spans="9:23" ht="25.5" customHeight="1">
      <c r="I861" s="24"/>
      <c r="J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</row>
    <row r="862" spans="9:23" ht="25.5" customHeight="1">
      <c r="I862" s="24"/>
      <c r="J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</row>
    <row r="863" spans="9:23" ht="25.5" customHeight="1">
      <c r="I863" s="24"/>
      <c r="J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</row>
    <row r="864" spans="9:23" ht="25.5" customHeight="1">
      <c r="I864" s="24"/>
      <c r="J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</row>
    <row r="865" spans="9:23" ht="25.5" customHeight="1">
      <c r="I865" s="24"/>
      <c r="J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</row>
    <row r="866" spans="9:23" ht="25.5" customHeight="1">
      <c r="I866" s="24"/>
      <c r="J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</row>
    <row r="867" spans="9:23" ht="25.5" customHeight="1">
      <c r="I867" s="24"/>
      <c r="J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</row>
    <row r="868" spans="9:23" ht="25.5" customHeight="1">
      <c r="I868" s="24"/>
      <c r="J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</row>
    <row r="869" spans="9:23" ht="25.5" customHeight="1">
      <c r="I869" s="24"/>
      <c r="J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</row>
    <row r="870" spans="9:23" ht="25.5" customHeight="1">
      <c r="I870" s="24"/>
      <c r="J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</row>
    <row r="871" spans="9:23" ht="25.5" customHeight="1">
      <c r="I871" s="24"/>
      <c r="J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</row>
    <row r="872" spans="9:23" ht="25.5" customHeight="1">
      <c r="I872" s="24"/>
      <c r="J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</row>
    <row r="873" spans="9:23" ht="25.5" customHeight="1">
      <c r="I873" s="24"/>
      <c r="J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</row>
    <row r="874" spans="9:23" ht="25.5" customHeight="1">
      <c r="I874" s="24"/>
      <c r="J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</row>
    <row r="875" spans="9:23" ht="25.5" customHeight="1">
      <c r="I875" s="24"/>
      <c r="J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</row>
    <row r="876" spans="9:23" ht="25.5" customHeight="1">
      <c r="I876" s="24"/>
      <c r="J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</row>
    <row r="877" spans="9:23" ht="25.5" customHeight="1">
      <c r="I877" s="24"/>
      <c r="J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</row>
    <row r="878" spans="9:23" ht="25.5" customHeight="1">
      <c r="I878" s="24"/>
      <c r="J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</row>
    <row r="879" spans="9:23" ht="25.5" customHeight="1">
      <c r="I879" s="24"/>
      <c r="J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</row>
    <row r="880" spans="9:23" ht="25.5" customHeight="1">
      <c r="I880" s="24"/>
      <c r="J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</row>
    <row r="881" spans="9:23" ht="25.5" customHeight="1">
      <c r="I881" s="24"/>
      <c r="J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</row>
    <row r="882" spans="9:23" ht="25.5" customHeight="1">
      <c r="I882" s="24"/>
      <c r="J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</row>
    <row r="883" spans="9:23" ht="25.5" customHeight="1">
      <c r="I883" s="24"/>
      <c r="J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</row>
    <row r="884" spans="9:23" ht="25.5" customHeight="1">
      <c r="I884" s="24"/>
      <c r="J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</row>
    <row r="885" spans="9:23" ht="25.5" customHeight="1">
      <c r="I885" s="24"/>
      <c r="J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</row>
    <row r="886" spans="9:23" ht="25.5" customHeight="1">
      <c r="I886" s="24"/>
      <c r="J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</row>
    <row r="887" spans="9:23" ht="25.5" customHeight="1">
      <c r="I887" s="24"/>
      <c r="J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</row>
    <row r="888" spans="9:23" ht="25.5" customHeight="1">
      <c r="I888" s="24"/>
      <c r="J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</row>
    <row r="889" spans="9:23" ht="25.5" customHeight="1">
      <c r="I889" s="24"/>
      <c r="J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</row>
    <row r="890" spans="9:23" ht="25.5" customHeight="1">
      <c r="I890" s="24"/>
      <c r="J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</row>
    <row r="891" spans="9:23" ht="25.5" customHeight="1">
      <c r="I891" s="24"/>
      <c r="J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</row>
    <row r="892" spans="9:23" ht="25.5" customHeight="1">
      <c r="I892" s="24"/>
      <c r="J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</row>
    <row r="893" spans="9:23" ht="25.5" customHeight="1">
      <c r="I893" s="24"/>
      <c r="J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</row>
    <row r="894" spans="9:23" ht="25.5" customHeight="1">
      <c r="I894" s="24"/>
      <c r="J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</row>
    <row r="895" spans="9:23" ht="25.5" customHeight="1">
      <c r="I895" s="24"/>
      <c r="J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</row>
    <row r="896" spans="9:23" ht="25.5" customHeight="1">
      <c r="I896" s="24"/>
      <c r="J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</row>
    <row r="897" spans="9:23" ht="25.5" customHeight="1">
      <c r="I897" s="24"/>
      <c r="J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</row>
    <row r="898" spans="9:23" ht="25.5" customHeight="1">
      <c r="I898" s="24"/>
      <c r="J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</row>
    <row r="899" spans="9:23" ht="25.5" customHeight="1">
      <c r="I899" s="24"/>
      <c r="J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</row>
    <row r="900" spans="9:23" ht="25.5" customHeight="1">
      <c r="I900" s="24"/>
      <c r="J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</row>
    <row r="901" spans="9:23" ht="25.5" customHeight="1">
      <c r="I901" s="24"/>
      <c r="J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</row>
    <row r="902" spans="9:23" ht="25.5" customHeight="1">
      <c r="I902" s="24"/>
      <c r="J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</row>
    <row r="903" spans="9:23" ht="25.5" customHeight="1">
      <c r="I903" s="24"/>
      <c r="J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</row>
    <row r="904" spans="9:23" ht="25.5" customHeight="1">
      <c r="I904" s="24"/>
      <c r="J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</row>
    <row r="905" spans="9:23" ht="25.5" customHeight="1">
      <c r="I905" s="24"/>
      <c r="J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</row>
    <row r="906" spans="9:23" ht="25.5" customHeight="1">
      <c r="I906" s="24"/>
      <c r="J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</row>
    <row r="907" spans="9:23" ht="25.5" customHeight="1">
      <c r="I907" s="24"/>
      <c r="J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</row>
    <row r="908" spans="9:23" ht="25.5" customHeight="1">
      <c r="I908" s="24"/>
      <c r="J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</row>
    <row r="909" spans="9:23" ht="25.5" customHeight="1">
      <c r="I909" s="24"/>
      <c r="J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</row>
    <row r="910" spans="9:23" ht="25.5" customHeight="1">
      <c r="I910" s="24"/>
      <c r="J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</row>
    <row r="911" spans="9:23" ht="25.5" customHeight="1">
      <c r="I911" s="24"/>
      <c r="J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</row>
    <row r="912" spans="9:23" ht="25.5" customHeight="1">
      <c r="I912" s="24"/>
      <c r="J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</row>
    <row r="913" spans="9:23" ht="25.5" customHeight="1">
      <c r="I913" s="24"/>
      <c r="J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</row>
    <row r="914" spans="9:23" ht="25.5" customHeight="1">
      <c r="I914" s="24"/>
      <c r="J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</row>
    <row r="915" spans="9:23" ht="25.5" customHeight="1">
      <c r="I915" s="24"/>
      <c r="J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</row>
    <row r="916" spans="9:23" ht="25.5" customHeight="1">
      <c r="I916" s="24"/>
      <c r="J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</row>
    <row r="917" spans="9:23" ht="25.5" customHeight="1">
      <c r="I917" s="24"/>
      <c r="J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</row>
    <row r="918" spans="9:23" ht="25.5" customHeight="1">
      <c r="I918" s="24"/>
      <c r="J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</row>
    <row r="919" spans="9:23" ht="25.5" customHeight="1">
      <c r="I919" s="24"/>
      <c r="J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</row>
    <row r="920" spans="9:23" ht="25.5" customHeight="1">
      <c r="I920" s="24"/>
      <c r="J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</row>
    <row r="921" spans="9:23" ht="25.5" customHeight="1">
      <c r="I921" s="24"/>
      <c r="J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</row>
    <row r="922" spans="9:23" ht="25.5" customHeight="1">
      <c r="I922" s="24"/>
      <c r="J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</row>
    <row r="923" spans="9:23" ht="25.5" customHeight="1">
      <c r="I923" s="24"/>
      <c r="J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</row>
    <row r="924" spans="9:23" ht="25.5" customHeight="1">
      <c r="I924" s="24"/>
      <c r="J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</row>
    <row r="925" spans="9:23" ht="25.5" customHeight="1">
      <c r="I925" s="24"/>
      <c r="J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</row>
    <row r="926" spans="9:23" ht="25.5" customHeight="1">
      <c r="I926" s="24"/>
      <c r="J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</row>
    <row r="927" spans="9:23" ht="25.5" customHeight="1">
      <c r="I927" s="24"/>
      <c r="J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</row>
    <row r="928" spans="9:23" ht="25.5" customHeight="1">
      <c r="I928" s="24"/>
      <c r="J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</row>
    <row r="929" spans="9:23" ht="25.5" customHeight="1">
      <c r="I929" s="24"/>
      <c r="J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</row>
    <row r="930" spans="9:23" ht="25.5" customHeight="1">
      <c r="I930" s="24"/>
      <c r="J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</row>
    <row r="931" spans="9:23" ht="25.5" customHeight="1">
      <c r="I931" s="24"/>
      <c r="J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</row>
    <row r="932" spans="9:23" ht="25.5" customHeight="1">
      <c r="I932" s="24"/>
      <c r="J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</row>
    <row r="933" spans="9:23" ht="25.5" customHeight="1">
      <c r="I933" s="24"/>
      <c r="J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</row>
    <row r="934" spans="9:23" ht="25.5" customHeight="1">
      <c r="I934" s="24"/>
      <c r="J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</row>
    <row r="935" spans="9:23" ht="25.5" customHeight="1">
      <c r="I935" s="24"/>
      <c r="J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</row>
    <row r="936" spans="9:23" ht="25.5" customHeight="1">
      <c r="I936" s="24"/>
      <c r="J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</row>
    <row r="937" spans="9:23" ht="25.5" customHeight="1">
      <c r="I937" s="24"/>
      <c r="J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</row>
    <row r="938" spans="9:23" ht="25.5" customHeight="1">
      <c r="I938" s="24"/>
      <c r="J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</row>
    <row r="939" spans="9:23" ht="25.5" customHeight="1">
      <c r="I939" s="24"/>
      <c r="J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</row>
    <row r="940" spans="9:23" ht="25.5" customHeight="1">
      <c r="I940" s="24"/>
      <c r="J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</row>
    <row r="941" spans="9:23" ht="25.5" customHeight="1">
      <c r="I941" s="24"/>
      <c r="J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</row>
    <row r="942" spans="9:23" ht="25.5" customHeight="1">
      <c r="I942" s="24"/>
      <c r="J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</row>
    <row r="943" spans="9:23" ht="25.5" customHeight="1">
      <c r="I943" s="24"/>
      <c r="J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</row>
    <row r="944" spans="9:23" ht="25.5" customHeight="1">
      <c r="I944" s="24"/>
      <c r="J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</row>
    <row r="945" spans="9:23" ht="25.5" customHeight="1">
      <c r="I945" s="24"/>
      <c r="J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</row>
    <row r="946" spans="9:23" ht="25.5" customHeight="1">
      <c r="I946" s="24"/>
      <c r="J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</row>
    <row r="947" spans="9:23" ht="25.5" customHeight="1">
      <c r="I947" s="24"/>
      <c r="J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</row>
    <row r="948" spans="9:23" ht="25.5" customHeight="1">
      <c r="I948" s="24"/>
      <c r="J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</row>
    <row r="949" spans="9:23" ht="25.5" customHeight="1">
      <c r="I949" s="24"/>
      <c r="J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</row>
    <row r="950" spans="9:23" ht="25.5" customHeight="1">
      <c r="I950" s="24"/>
      <c r="J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</row>
    <row r="951" spans="9:23" ht="25.5" customHeight="1">
      <c r="I951" s="24"/>
      <c r="J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</row>
    <row r="952" spans="9:23" ht="25.5" customHeight="1">
      <c r="I952" s="24"/>
      <c r="J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</row>
    <row r="953" spans="9:23" ht="25.5" customHeight="1">
      <c r="I953" s="24"/>
      <c r="J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</row>
    <row r="954" spans="9:23" ht="25.5" customHeight="1">
      <c r="I954" s="24"/>
      <c r="J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</row>
    <row r="955" spans="9:23" ht="25.5" customHeight="1">
      <c r="I955" s="24"/>
      <c r="J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</row>
    <row r="956" spans="9:23" ht="25.5" customHeight="1">
      <c r="I956" s="24"/>
      <c r="J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</row>
    <row r="957" spans="9:23" ht="25.5" customHeight="1">
      <c r="I957" s="24"/>
      <c r="J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</row>
    <row r="958" spans="9:23" ht="25.5" customHeight="1">
      <c r="I958" s="24"/>
      <c r="J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</row>
    <row r="959" spans="9:23" ht="25.5" customHeight="1">
      <c r="I959" s="24"/>
      <c r="J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</row>
    <row r="960" spans="9:23" ht="25.5" customHeight="1">
      <c r="I960" s="24"/>
      <c r="J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</row>
    <row r="961" spans="9:23" ht="25.5" customHeight="1">
      <c r="I961" s="24"/>
      <c r="J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</row>
    <row r="962" spans="9:23" ht="25.5" customHeight="1">
      <c r="I962" s="24"/>
      <c r="J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</row>
    <row r="963" spans="9:23" ht="25.5" customHeight="1">
      <c r="I963" s="24"/>
      <c r="J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</row>
    <row r="964" spans="9:23" ht="25.5" customHeight="1">
      <c r="I964" s="24"/>
      <c r="J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</row>
    <row r="965" spans="9:23" ht="25.5" customHeight="1">
      <c r="I965" s="24"/>
      <c r="J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</row>
    <row r="966" spans="9:23" ht="25.5" customHeight="1">
      <c r="I966" s="24"/>
      <c r="J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</row>
    <row r="967" spans="9:23" ht="25.5" customHeight="1">
      <c r="I967" s="24"/>
      <c r="J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</row>
    <row r="968" spans="9:23" ht="25.5" customHeight="1">
      <c r="I968" s="24"/>
      <c r="J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</row>
    <row r="969" spans="9:23" ht="25.5" customHeight="1">
      <c r="I969" s="24"/>
      <c r="J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</row>
    <row r="970" spans="9:23" ht="25.5" customHeight="1">
      <c r="I970" s="24"/>
      <c r="J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</row>
    <row r="971" spans="9:23" ht="25.5" customHeight="1">
      <c r="I971" s="24"/>
      <c r="J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</row>
    <row r="972" spans="9:23" ht="25.5" customHeight="1">
      <c r="I972" s="24"/>
      <c r="J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</row>
    <row r="973" spans="9:23" ht="25.5" customHeight="1">
      <c r="I973" s="24"/>
      <c r="J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</row>
    <row r="974" spans="9:23" ht="25.5" customHeight="1">
      <c r="I974" s="24"/>
      <c r="J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</row>
    <row r="975" spans="9:23" ht="25.5" customHeight="1">
      <c r="I975" s="24"/>
      <c r="J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</row>
    <row r="976" spans="9:23" ht="25.5" customHeight="1">
      <c r="I976" s="24"/>
      <c r="J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</row>
    <row r="977" spans="9:23" ht="25.5" customHeight="1">
      <c r="I977" s="24"/>
      <c r="J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</row>
    <row r="978" spans="9:23" ht="25.5" customHeight="1">
      <c r="I978" s="24"/>
      <c r="J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</row>
    <row r="979" spans="9:23" ht="25.5" customHeight="1">
      <c r="I979" s="24"/>
      <c r="J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</row>
    <row r="980" spans="9:23" ht="25.5" customHeight="1">
      <c r="I980" s="24"/>
      <c r="J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</row>
    <row r="981" spans="9:23" ht="25.5" customHeight="1">
      <c r="I981" s="24"/>
      <c r="J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</row>
    <row r="982" spans="9:23" ht="25.5" customHeight="1">
      <c r="I982" s="24"/>
      <c r="J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</row>
    <row r="983" spans="9:23" ht="25.5" customHeight="1">
      <c r="I983" s="24"/>
      <c r="J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</row>
    <row r="984" spans="9:23" ht="25.5" customHeight="1">
      <c r="I984" s="24"/>
      <c r="J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</row>
    <row r="985" spans="9:23" ht="25.5" customHeight="1">
      <c r="I985" s="24"/>
      <c r="J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</row>
    <row r="986" spans="9:23" ht="25.5" customHeight="1">
      <c r="I986" s="24"/>
      <c r="J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</row>
    <row r="987" spans="9:23" ht="25.5" customHeight="1">
      <c r="I987" s="24"/>
      <c r="J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</row>
    <row r="988" spans="9:23" ht="25.5" customHeight="1">
      <c r="I988" s="24"/>
      <c r="J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</row>
    <row r="989" spans="9:23" ht="25.5" customHeight="1">
      <c r="I989" s="24"/>
      <c r="J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</row>
    <row r="990" spans="9:23" ht="25.5" customHeight="1">
      <c r="I990" s="24"/>
      <c r="J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</row>
    <row r="991" spans="9:23" ht="25.5" customHeight="1">
      <c r="I991" s="24"/>
      <c r="J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</row>
    <row r="992" spans="9:23" ht="25.5" customHeight="1">
      <c r="I992" s="24"/>
      <c r="J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</row>
    <row r="993" spans="9:23" ht="25.5" customHeight="1">
      <c r="I993" s="24"/>
      <c r="J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</row>
    <row r="994" spans="9:23" ht="25.5" customHeight="1">
      <c r="I994" s="24"/>
      <c r="J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</row>
    <row r="995" spans="9:23" ht="25.5" customHeight="1">
      <c r="I995" s="24"/>
      <c r="J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</row>
    <row r="996" spans="9:23" ht="25.5" customHeight="1">
      <c r="I996" s="24"/>
      <c r="J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</row>
    <row r="997" spans="9:23" ht="25.5" customHeight="1">
      <c r="I997" s="24"/>
      <c r="J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</row>
    <row r="998" spans="9:23" ht="25.5" customHeight="1">
      <c r="I998" s="24"/>
      <c r="J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</row>
    <row r="999" spans="9:23" ht="25.5" customHeight="1">
      <c r="I999" s="24"/>
      <c r="J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</row>
    <row r="1000" spans="9:23" ht="25.5" customHeight="1">
      <c r="I1000" s="24"/>
      <c r="J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</row>
  </sheetData>
  <autoFilter ref="H1:H677" xr:uid="{00000000-0009-0000-0000-000001000000}">
    <filterColumn colId="0">
      <filters blank="1">
        <filter val="0.00 m³"/>
        <filter val="1,018.00"/>
        <filter val="1,023.44"/>
        <filter val="1,163.72"/>
        <filter val="1,170.70"/>
        <filter val="1,201.86"/>
        <filter val="1,246.84"/>
        <filter val="1,304.47"/>
        <filter val="1,318.52"/>
        <filter val="1,379.49"/>
        <filter val="1,465.41"/>
        <filter val="1,527.00"/>
        <filter val="1,568.10"/>
        <filter val="1,587.39"/>
        <filter val="1,700.78"/>
        <filter val="1,701.37"/>
        <filter val="1,758.49"/>
        <filter val="1,899.37"/>
        <filter val="1,960.13"/>
        <filter val="1,977.78"/>
        <filter val="10,767.92"/>
        <filter val="10,844.01"/>
        <filter val="100.93"/>
        <filter val="107,847.07"/>
        <filter val="113,985.51"/>
        <filter val="12,012.06"/>
        <filter val="12.31"/>
        <filter val="13,735.80"/>
        <filter val="13,794.90"/>
        <filter val="13,854.54"/>
        <filter val="139,010.32"/>
        <filter val="14,055.35"/>
        <filter val="14,579.17"/>
        <filter val="14,844.15"/>
        <filter val="146.71"/>
        <filter val="15,382.75"/>
        <filter val="15,822.25"/>
        <filter val="151,271.37"/>
        <filter val="154,394.87"/>
        <filter val="16,625.45"/>
        <filter val="16,701.27"/>
        <filter val="17,725.67"/>
        <filter val="180.66"/>
        <filter val="2,279.25"/>
        <filter val="2,450.16"/>
        <filter val="2,456.68"/>
        <filter val="2,521.39"/>
        <filter val="2,545.00"/>
        <filter val="2,955.90"/>
        <filter val="2,968.83"/>
        <filter val="201.86"/>
        <filter val="231.55"/>
        <filter val="27,209.62"/>
        <filter val="270.99"/>
        <filter val="279.12"/>
        <filter val="28,379.19"/>
        <filter val="28,460.81"/>
        <filter val="29,291.38"/>
        <filter val="29,991.35"/>
        <filter val="293.43"/>
        <filter val="3,158.67"/>
        <filter val="3,252.23"/>
        <filter val="3,324.91"/>
        <filter val="3,419.28"/>
        <filter val="3,588.13"/>
        <filter val="3,629.70"/>
        <filter val="3,663.52"/>
        <filter val="3,685.11"/>
        <filter val="3,785.63"/>
        <filter val="3,920.26"/>
        <filter val="30,084.14"/>
        <filter val="30,432.00"/>
        <filter val="302.79"/>
        <filter val="336.87"/>
        <filter val="352.56"/>
        <filter val="361.32"/>
        <filter val="366.35"/>
        <filter val="37,605.18"/>
        <filter val="372.16"/>
        <filter val="39,584.40"/>
        <filter val="4,103.14"/>
        <filter val="4,431.87"/>
        <filter val="4,900.33"/>
        <filter val="4,906.71"/>
        <filter val="408.27"/>
        <filter val="415.61"/>
        <filter val="42,751.15"/>
        <filter val="43,938.68"/>
        <filter val="450.83"/>
        <filter val="463.10"/>
        <filter val="465.20"/>
        <filter val="474.84"/>
        <filter val="484.88"/>
        <filter val="498.74"/>
        <filter val="5,195.18"/>
        <filter val="5,292.35"/>
        <filter val="5,318.24"/>
        <filter val="5,788.36"/>
        <filter val="5,880.39"/>
        <filter val="5,937.66"/>
        <filter val="50,458.57"/>
        <filter val="509.00"/>
        <filter val="540.30"/>
        <filter val="558.24"/>
        <filter val="6,432.47"/>
        <filter val="6,592.61"/>
        <filter val="6,692.03"/>
        <filter val="6,716.45"/>
        <filter val="6,860.46"/>
        <filter val="61,850.63"/>
        <filter val="610.80"/>
        <filter val="7,094.17"/>
        <filter val="7,502.52"/>
        <filter val="722.64"/>
        <filter val="732.70"/>
        <filter val="744.32"/>
        <filter val="763.50"/>
        <filter val="8,673.80"/>
        <filter val="8,705.46"/>
        <filter val="8,790.14"/>
        <filter val="816.54"/>
        <filter val="87,592.23"/>
        <filter val="881.40"/>
        <filter val="9,896.10"/>
        <filter val="90.33"/>
        <filter val="949.69"/>
        <filter val="980.07"/>
        <filter val="Total"/>
      </filters>
    </filterColumn>
  </autoFilter>
  <mergeCells count="50">
    <mergeCell ref="C1:F1"/>
    <mergeCell ref="K1:L3"/>
    <mergeCell ref="B17:C17"/>
    <mergeCell ref="D17:F17"/>
    <mergeCell ref="K17:L17"/>
    <mergeCell ref="D59:F59"/>
    <mergeCell ref="B61:C61"/>
    <mergeCell ref="D61:F61"/>
    <mergeCell ref="D103:F103"/>
    <mergeCell ref="B105:C105"/>
    <mergeCell ref="D105:F105"/>
    <mergeCell ref="D147:F147"/>
    <mergeCell ref="B149:C149"/>
    <mergeCell ref="D149:F149"/>
    <mergeCell ref="D191:F191"/>
    <mergeCell ref="B193:C193"/>
    <mergeCell ref="D193:F193"/>
    <mergeCell ref="D235:F235"/>
    <mergeCell ref="B237:C237"/>
    <mergeCell ref="D237:F237"/>
    <mergeCell ref="D279:F279"/>
    <mergeCell ref="B281:C281"/>
    <mergeCell ref="D281:F281"/>
    <mergeCell ref="D323:F323"/>
    <mergeCell ref="B325:C325"/>
    <mergeCell ref="D325:F325"/>
    <mergeCell ref="D367:F367"/>
    <mergeCell ref="B369:C369"/>
    <mergeCell ref="D369:F369"/>
    <mergeCell ref="D411:F411"/>
    <mergeCell ref="B413:C413"/>
    <mergeCell ref="D413:F413"/>
    <mergeCell ref="D455:F455"/>
    <mergeCell ref="B457:C457"/>
    <mergeCell ref="D457:F457"/>
    <mergeCell ref="D675:F675"/>
    <mergeCell ref="B677:C677"/>
    <mergeCell ref="D677:F677"/>
    <mergeCell ref="D499:F499"/>
    <mergeCell ref="B501:C501"/>
    <mergeCell ref="D501:F501"/>
    <mergeCell ref="D543:F543"/>
    <mergeCell ref="B545:C545"/>
    <mergeCell ref="D545:F545"/>
    <mergeCell ref="D587:F587"/>
    <mergeCell ref="B589:C589"/>
    <mergeCell ref="D589:F589"/>
    <mergeCell ref="D631:F631"/>
    <mergeCell ref="B633:C633"/>
    <mergeCell ref="D633:F633"/>
  </mergeCells>
  <conditionalFormatting sqref="H59">
    <cfRule type="cellIs" dxfId="4935" priority="1" operator="equal">
      <formula>0</formula>
    </cfRule>
  </conditionalFormatting>
  <conditionalFormatting sqref="H103">
    <cfRule type="cellIs" dxfId="4934" priority="2" operator="equal">
      <formula>0</formula>
    </cfRule>
  </conditionalFormatting>
  <conditionalFormatting sqref="H103">
    <cfRule type="cellIs" dxfId="4933" priority="3" operator="equal">
      <formula>0</formula>
    </cfRule>
  </conditionalFormatting>
  <conditionalFormatting sqref="H147">
    <cfRule type="cellIs" dxfId="4932" priority="4" operator="equal">
      <formula>0</formula>
    </cfRule>
  </conditionalFormatting>
  <conditionalFormatting sqref="H147">
    <cfRule type="cellIs" dxfId="4931" priority="5" operator="equal">
      <formula>0</formula>
    </cfRule>
  </conditionalFormatting>
  <conditionalFormatting sqref="H147">
    <cfRule type="cellIs" dxfId="4930" priority="6" operator="equal">
      <formula>0</formula>
    </cfRule>
  </conditionalFormatting>
  <conditionalFormatting sqref="H191">
    <cfRule type="cellIs" dxfId="4929" priority="7" operator="equal">
      <formula>0</formula>
    </cfRule>
  </conditionalFormatting>
  <conditionalFormatting sqref="H235">
    <cfRule type="cellIs" dxfId="4928" priority="8" operator="equal">
      <formula>0</formula>
    </cfRule>
  </conditionalFormatting>
  <conditionalFormatting sqref="H279">
    <cfRule type="cellIs" dxfId="4927" priority="9" operator="equal">
      <formula>0</formula>
    </cfRule>
  </conditionalFormatting>
  <conditionalFormatting sqref="H323">
    <cfRule type="cellIs" dxfId="4926" priority="10" operator="equal">
      <formula>0</formula>
    </cfRule>
  </conditionalFormatting>
  <conditionalFormatting sqref="H323">
    <cfRule type="cellIs" dxfId="4925" priority="11" operator="equal">
      <formula>0</formula>
    </cfRule>
  </conditionalFormatting>
  <conditionalFormatting sqref="H367">
    <cfRule type="cellIs" dxfId="4924" priority="12" operator="equal">
      <formula>0</formula>
    </cfRule>
  </conditionalFormatting>
  <conditionalFormatting sqref="H411">
    <cfRule type="cellIs" dxfId="4923" priority="13" operator="equal">
      <formula>0</formula>
    </cfRule>
  </conditionalFormatting>
  <conditionalFormatting sqref="H455">
    <cfRule type="cellIs" dxfId="4922" priority="14" operator="equal">
      <formula>0</formula>
    </cfRule>
  </conditionalFormatting>
  <conditionalFormatting sqref="H499">
    <cfRule type="cellIs" dxfId="4921" priority="15" operator="equal">
      <formula>0</formula>
    </cfRule>
  </conditionalFormatting>
  <conditionalFormatting sqref="H543">
    <cfRule type="cellIs" dxfId="4920" priority="16" operator="equal">
      <formula>0</formula>
    </cfRule>
  </conditionalFormatting>
  <conditionalFormatting sqref="H103">
    <cfRule type="cellIs" dxfId="4919" priority="17" operator="equal">
      <formula>0</formula>
    </cfRule>
  </conditionalFormatting>
  <conditionalFormatting sqref="H147">
    <cfRule type="cellIs" dxfId="4918" priority="18" operator="equal">
      <formula>0</formula>
    </cfRule>
  </conditionalFormatting>
  <conditionalFormatting sqref="H191">
    <cfRule type="cellIs" dxfId="4917" priority="19" operator="equal">
      <formula>0</formula>
    </cfRule>
  </conditionalFormatting>
  <conditionalFormatting sqref="H235">
    <cfRule type="cellIs" dxfId="4916" priority="20" operator="equal">
      <formula>0</formula>
    </cfRule>
  </conditionalFormatting>
  <conditionalFormatting sqref="H279">
    <cfRule type="cellIs" dxfId="4915" priority="21" operator="equal">
      <formula>0</formula>
    </cfRule>
  </conditionalFormatting>
  <conditionalFormatting sqref="H323">
    <cfRule type="cellIs" dxfId="4914" priority="22" operator="equal">
      <formula>0</formula>
    </cfRule>
  </conditionalFormatting>
  <conditionalFormatting sqref="H367">
    <cfRule type="cellIs" dxfId="4913" priority="23" operator="equal">
      <formula>0</formula>
    </cfRule>
  </conditionalFormatting>
  <conditionalFormatting sqref="H411">
    <cfRule type="cellIs" dxfId="4912" priority="24" operator="equal">
      <formula>0</formula>
    </cfRule>
  </conditionalFormatting>
  <conditionalFormatting sqref="H455">
    <cfRule type="cellIs" dxfId="4911" priority="25" operator="equal">
      <formula>0</formula>
    </cfRule>
  </conditionalFormatting>
  <conditionalFormatting sqref="H499">
    <cfRule type="cellIs" dxfId="4910" priority="26" operator="equal">
      <formula>0</formula>
    </cfRule>
  </conditionalFormatting>
  <conditionalFormatting sqref="H543">
    <cfRule type="cellIs" dxfId="4909" priority="27" operator="equal">
      <formula>0</formula>
    </cfRule>
  </conditionalFormatting>
  <conditionalFormatting sqref="H587">
    <cfRule type="cellIs" dxfId="4908" priority="28" operator="equal">
      <formula>0</formula>
    </cfRule>
  </conditionalFormatting>
  <conditionalFormatting sqref="H587">
    <cfRule type="cellIs" dxfId="4907" priority="29" operator="equal">
      <formula>0</formula>
    </cfRule>
  </conditionalFormatting>
  <conditionalFormatting sqref="H631">
    <cfRule type="cellIs" dxfId="4906" priority="30" operator="equal">
      <formula>0</formula>
    </cfRule>
  </conditionalFormatting>
  <conditionalFormatting sqref="H631">
    <cfRule type="cellIs" dxfId="4905" priority="31" operator="equal">
      <formula>0</formula>
    </cfRule>
  </conditionalFormatting>
  <conditionalFormatting sqref="H675">
    <cfRule type="cellIs" dxfId="4904" priority="32" operator="equal">
      <formula>0</formula>
    </cfRule>
  </conditionalFormatting>
  <conditionalFormatting sqref="H675">
    <cfRule type="cellIs" dxfId="4903" priority="33" operator="equal">
      <formula>0</formula>
    </cfRule>
  </conditionalFormatting>
  <conditionalFormatting sqref="H675">
    <cfRule type="cellIs" dxfId="4902" priority="34" operator="equal">
      <formula>0</formula>
    </cfRule>
  </conditionalFormatting>
  <conditionalFormatting sqref="H675">
    <cfRule type="cellIs" dxfId="4901" priority="35" operator="equal">
      <formula>0</formula>
    </cfRule>
  </conditionalFormatting>
  <conditionalFormatting sqref="H587">
    <cfRule type="cellIs" dxfId="4900" priority="36" operator="equal">
      <formula>0</formula>
    </cfRule>
  </conditionalFormatting>
  <conditionalFormatting sqref="H587">
    <cfRule type="cellIs" dxfId="4899" priority="37" operator="equal">
      <formula>0</formula>
    </cfRule>
  </conditionalFormatting>
  <conditionalFormatting sqref="H543">
    <cfRule type="cellIs" dxfId="4898" priority="38" operator="equal">
      <formula>0</formula>
    </cfRule>
  </conditionalFormatting>
  <conditionalFormatting sqref="H543">
    <cfRule type="cellIs" dxfId="4897" priority="39" operator="equal">
      <formula>0</formula>
    </cfRule>
  </conditionalFormatting>
  <conditionalFormatting sqref="H499">
    <cfRule type="cellIs" dxfId="4896" priority="40" operator="equal">
      <formula>0</formula>
    </cfRule>
  </conditionalFormatting>
  <conditionalFormatting sqref="H499">
    <cfRule type="cellIs" dxfId="4895" priority="41" operator="equal">
      <formula>0</formula>
    </cfRule>
  </conditionalFormatting>
  <conditionalFormatting sqref="H455">
    <cfRule type="cellIs" dxfId="4894" priority="42" operator="equal">
      <formula>0</formula>
    </cfRule>
  </conditionalFormatting>
  <conditionalFormatting sqref="H455">
    <cfRule type="cellIs" dxfId="4893" priority="43" operator="equal">
      <formula>0</formula>
    </cfRule>
  </conditionalFormatting>
  <conditionalFormatting sqref="H411">
    <cfRule type="cellIs" dxfId="4892" priority="44" operator="equal">
      <formula>0</formula>
    </cfRule>
  </conditionalFormatting>
  <conditionalFormatting sqref="H411">
    <cfRule type="cellIs" dxfId="4891" priority="45" operator="equal">
      <formula>0</formula>
    </cfRule>
  </conditionalFormatting>
  <conditionalFormatting sqref="H367">
    <cfRule type="cellIs" dxfId="4890" priority="46" operator="equal">
      <formula>0</formula>
    </cfRule>
  </conditionalFormatting>
  <conditionalFormatting sqref="H367">
    <cfRule type="cellIs" dxfId="4889" priority="47" operator="equal">
      <formula>0</formula>
    </cfRule>
  </conditionalFormatting>
  <conditionalFormatting sqref="H323">
    <cfRule type="cellIs" dxfId="4888" priority="48" operator="equal">
      <formula>0</formula>
    </cfRule>
  </conditionalFormatting>
  <conditionalFormatting sqref="H323">
    <cfRule type="cellIs" dxfId="4887" priority="49" operator="equal">
      <formula>0</formula>
    </cfRule>
  </conditionalFormatting>
  <conditionalFormatting sqref="H279">
    <cfRule type="cellIs" dxfId="4886" priority="50" operator="equal">
      <formula>0</formula>
    </cfRule>
  </conditionalFormatting>
  <conditionalFormatting sqref="H279">
    <cfRule type="cellIs" dxfId="4885" priority="51" operator="equal">
      <formula>0</formula>
    </cfRule>
  </conditionalFormatting>
  <conditionalFormatting sqref="H235">
    <cfRule type="cellIs" dxfId="4884" priority="52" operator="equal">
      <formula>0</formula>
    </cfRule>
  </conditionalFormatting>
  <conditionalFormatting sqref="H235">
    <cfRule type="cellIs" dxfId="4883" priority="53" operator="equal">
      <formula>0</formula>
    </cfRule>
  </conditionalFormatting>
  <conditionalFormatting sqref="H191">
    <cfRule type="cellIs" dxfId="4882" priority="54" operator="equal">
      <formula>0</formula>
    </cfRule>
  </conditionalFormatting>
  <conditionalFormatting sqref="H191">
    <cfRule type="cellIs" dxfId="4881" priority="55" operator="equal">
      <formula>0</formula>
    </cfRule>
  </conditionalFormatting>
  <conditionalFormatting sqref="H147">
    <cfRule type="cellIs" dxfId="4880" priority="56" operator="equal">
      <formula>0</formula>
    </cfRule>
  </conditionalFormatting>
  <conditionalFormatting sqref="H147">
    <cfRule type="cellIs" dxfId="4879" priority="57" operator="equal">
      <formula>0</formula>
    </cfRule>
  </conditionalFormatting>
  <conditionalFormatting sqref="H103">
    <cfRule type="cellIs" dxfId="4878" priority="58" operator="equal">
      <formula>0</formula>
    </cfRule>
  </conditionalFormatting>
  <conditionalFormatting sqref="H103">
    <cfRule type="cellIs" dxfId="4877" priority="59" operator="equal">
      <formula>0</formula>
    </cfRule>
  </conditionalFormatting>
  <conditionalFormatting sqref="H59">
    <cfRule type="cellIs" dxfId="4876" priority="60" operator="equal">
      <formula>0</formula>
    </cfRule>
  </conditionalFormatting>
  <conditionalFormatting sqref="H59">
    <cfRule type="cellIs" dxfId="4875" priority="61" operator="equal">
      <formula>0</formula>
    </cfRule>
  </conditionalFormatting>
  <conditionalFormatting sqref="H103">
    <cfRule type="cellIs" dxfId="4874" priority="62" operator="equal">
      <formula>0</formula>
    </cfRule>
  </conditionalFormatting>
  <conditionalFormatting sqref="H103">
    <cfRule type="cellIs" dxfId="4873" priority="63" operator="equal">
      <formula>0</formula>
    </cfRule>
  </conditionalFormatting>
  <conditionalFormatting sqref="H103">
    <cfRule type="cellIs" dxfId="4872" priority="64" operator="equal">
      <formula>0</formula>
    </cfRule>
  </conditionalFormatting>
  <conditionalFormatting sqref="H147">
    <cfRule type="cellIs" dxfId="4871" priority="65" operator="equal">
      <formula>0</formula>
    </cfRule>
  </conditionalFormatting>
  <conditionalFormatting sqref="H147">
    <cfRule type="cellIs" dxfId="4870" priority="66" operator="equal">
      <formula>0</formula>
    </cfRule>
  </conditionalFormatting>
  <conditionalFormatting sqref="H147">
    <cfRule type="cellIs" dxfId="4869" priority="67" operator="equal">
      <formula>0</formula>
    </cfRule>
  </conditionalFormatting>
  <conditionalFormatting sqref="H191">
    <cfRule type="cellIs" dxfId="4868" priority="68" operator="equal">
      <formula>0</formula>
    </cfRule>
  </conditionalFormatting>
  <conditionalFormatting sqref="H191">
    <cfRule type="cellIs" dxfId="4867" priority="69" operator="equal">
      <formula>0</formula>
    </cfRule>
  </conditionalFormatting>
  <conditionalFormatting sqref="H191">
    <cfRule type="cellIs" dxfId="4866" priority="70" operator="equal">
      <formula>0</formula>
    </cfRule>
  </conditionalFormatting>
  <conditionalFormatting sqref="H191">
    <cfRule type="cellIs" dxfId="4865" priority="71" operator="equal">
      <formula>0</formula>
    </cfRule>
  </conditionalFormatting>
  <conditionalFormatting sqref="H191">
    <cfRule type="cellIs" dxfId="4864" priority="72" operator="equal">
      <formula>0</formula>
    </cfRule>
  </conditionalFormatting>
  <conditionalFormatting sqref="H191">
    <cfRule type="cellIs" dxfId="4863" priority="73" operator="equal">
      <formula>0</formula>
    </cfRule>
  </conditionalFormatting>
  <conditionalFormatting sqref="H191">
    <cfRule type="cellIs" dxfId="4862" priority="74" operator="equal">
      <formula>0</formula>
    </cfRule>
  </conditionalFormatting>
  <conditionalFormatting sqref="H191">
    <cfRule type="cellIs" dxfId="4861" priority="75" operator="equal">
      <formula>0</formula>
    </cfRule>
  </conditionalFormatting>
  <conditionalFormatting sqref="H191">
    <cfRule type="cellIs" dxfId="4860" priority="76" operator="equal">
      <formula>0</formula>
    </cfRule>
  </conditionalFormatting>
  <conditionalFormatting sqref="H235">
    <cfRule type="cellIs" dxfId="4859" priority="77" operator="equal">
      <formula>0</formula>
    </cfRule>
  </conditionalFormatting>
  <conditionalFormatting sqref="H235">
    <cfRule type="cellIs" dxfId="4858" priority="78" operator="equal">
      <formula>0</formula>
    </cfRule>
  </conditionalFormatting>
  <conditionalFormatting sqref="H235">
    <cfRule type="cellIs" dxfId="4857" priority="79" operator="equal">
      <formula>0</formula>
    </cfRule>
  </conditionalFormatting>
  <conditionalFormatting sqref="H235">
    <cfRule type="cellIs" dxfId="4856" priority="80" operator="equal">
      <formula>0</formula>
    </cfRule>
  </conditionalFormatting>
  <conditionalFormatting sqref="H235">
    <cfRule type="cellIs" dxfId="4855" priority="81" operator="equal">
      <formula>0</formula>
    </cfRule>
  </conditionalFormatting>
  <conditionalFormatting sqref="H235">
    <cfRule type="cellIs" dxfId="4854" priority="82" operator="equal">
      <formula>0</formula>
    </cfRule>
  </conditionalFormatting>
  <conditionalFormatting sqref="H235">
    <cfRule type="cellIs" dxfId="4853" priority="83" operator="equal">
      <formula>0</formula>
    </cfRule>
  </conditionalFormatting>
  <conditionalFormatting sqref="H235">
    <cfRule type="cellIs" dxfId="4852" priority="84" operator="equal">
      <formula>0</formula>
    </cfRule>
  </conditionalFormatting>
  <conditionalFormatting sqref="H235">
    <cfRule type="cellIs" dxfId="4851" priority="85" operator="equal">
      <formula>0</formula>
    </cfRule>
  </conditionalFormatting>
  <conditionalFormatting sqref="H279">
    <cfRule type="cellIs" dxfId="4850" priority="86" operator="equal">
      <formula>0</formula>
    </cfRule>
  </conditionalFormatting>
  <conditionalFormatting sqref="H279">
    <cfRule type="cellIs" dxfId="4849" priority="87" operator="equal">
      <formula>0</formula>
    </cfRule>
  </conditionalFormatting>
  <conditionalFormatting sqref="H279">
    <cfRule type="cellIs" dxfId="4848" priority="88" operator="equal">
      <formula>0</formula>
    </cfRule>
  </conditionalFormatting>
  <conditionalFormatting sqref="H279">
    <cfRule type="cellIs" dxfId="4847" priority="89" operator="equal">
      <formula>0</formula>
    </cfRule>
  </conditionalFormatting>
  <conditionalFormatting sqref="H279">
    <cfRule type="cellIs" dxfId="4846" priority="90" operator="equal">
      <formula>0</formula>
    </cfRule>
  </conditionalFormatting>
  <conditionalFormatting sqref="H279">
    <cfRule type="cellIs" dxfId="4845" priority="91" operator="equal">
      <formula>0</formula>
    </cfRule>
  </conditionalFormatting>
  <conditionalFormatting sqref="H279">
    <cfRule type="cellIs" dxfId="4844" priority="92" operator="equal">
      <formula>0</formula>
    </cfRule>
  </conditionalFormatting>
  <conditionalFormatting sqref="H279">
    <cfRule type="cellIs" dxfId="4843" priority="93" operator="equal">
      <formula>0</formula>
    </cfRule>
  </conditionalFormatting>
  <conditionalFormatting sqref="H279">
    <cfRule type="cellIs" dxfId="4842" priority="94" operator="equal">
      <formula>0</formula>
    </cfRule>
  </conditionalFormatting>
  <conditionalFormatting sqref="H323">
    <cfRule type="cellIs" dxfId="4841" priority="95" operator="equal">
      <formula>0</formula>
    </cfRule>
  </conditionalFormatting>
  <conditionalFormatting sqref="H323">
    <cfRule type="cellIs" dxfId="4840" priority="96" operator="equal">
      <formula>0</formula>
    </cfRule>
  </conditionalFormatting>
  <conditionalFormatting sqref="H323">
    <cfRule type="cellIs" dxfId="4839" priority="97" operator="equal">
      <formula>0</formula>
    </cfRule>
  </conditionalFormatting>
  <conditionalFormatting sqref="H323">
    <cfRule type="cellIs" dxfId="4838" priority="98" operator="equal">
      <formula>0</formula>
    </cfRule>
  </conditionalFormatting>
  <conditionalFormatting sqref="H323">
    <cfRule type="cellIs" dxfId="4837" priority="99" operator="equal">
      <formula>0</formula>
    </cfRule>
  </conditionalFormatting>
  <conditionalFormatting sqref="H323">
    <cfRule type="cellIs" dxfId="4836" priority="100" operator="equal">
      <formula>0</formula>
    </cfRule>
  </conditionalFormatting>
  <conditionalFormatting sqref="H323">
    <cfRule type="cellIs" dxfId="4835" priority="101" operator="equal">
      <formula>0</formula>
    </cfRule>
  </conditionalFormatting>
  <conditionalFormatting sqref="H323">
    <cfRule type="cellIs" dxfId="4834" priority="102" operator="equal">
      <formula>0</formula>
    </cfRule>
  </conditionalFormatting>
  <conditionalFormatting sqref="H323">
    <cfRule type="cellIs" dxfId="4833" priority="103" operator="equal">
      <formula>0</formula>
    </cfRule>
  </conditionalFormatting>
  <conditionalFormatting sqref="H367">
    <cfRule type="cellIs" dxfId="4832" priority="104" operator="equal">
      <formula>0</formula>
    </cfRule>
  </conditionalFormatting>
  <conditionalFormatting sqref="H367">
    <cfRule type="cellIs" dxfId="4831" priority="105" operator="equal">
      <formula>0</formula>
    </cfRule>
  </conditionalFormatting>
  <conditionalFormatting sqref="H367">
    <cfRule type="cellIs" dxfId="4830" priority="106" operator="equal">
      <formula>0</formula>
    </cfRule>
  </conditionalFormatting>
  <conditionalFormatting sqref="H367">
    <cfRule type="cellIs" dxfId="4829" priority="107" operator="equal">
      <formula>0</formula>
    </cfRule>
  </conditionalFormatting>
  <conditionalFormatting sqref="H367">
    <cfRule type="cellIs" dxfId="4828" priority="108" operator="equal">
      <formula>0</formula>
    </cfRule>
  </conditionalFormatting>
  <conditionalFormatting sqref="H367">
    <cfRule type="cellIs" dxfId="4827" priority="109" operator="equal">
      <formula>0</formula>
    </cfRule>
  </conditionalFormatting>
  <conditionalFormatting sqref="H367">
    <cfRule type="cellIs" dxfId="4826" priority="110" operator="equal">
      <formula>0</formula>
    </cfRule>
  </conditionalFormatting>
  <conditionalFormatting sqref="H367">
    <cfRule type="cellIs" dxfId="4825" priority="111" operator="equal">
      <formula>0</formula>
    </cfRule>
  </conditionalFormatting>
  <conditionalFormatting sqref="H367">
    <cfRule type="cellIs" dxfId="4824" priority="112" operator="equal">
      <formula>0</formula>
    </cfRule>
  </conditionalFormatting>
  <conditionalFormatting sqref="H411">
    <cfRule type="cellIs" dxfId="4823" priority="113" operator="equal">
      <formula>0</formula>
    </cfRule>
  </conditionalFormatting>
  <conditionalFormatting sqref="H411">
    <cfRule type="cellIs" dxfId="4822" priority="114" operator="equal">
      <formula>0</formula>
    </cfRule>
  </conditionalFormatting>
  <conditionalFormatting sqref="H411">
    <cfRule type="cellIs" dxfId="4821" priority="115" operator="equal">
      <formula>0</formula>
    </cfRule>
  </conditionalFormatting>
  <conditionalFormatting sqref="H411">
    <cfRule type="cellIs" dxfId="4820" priority="116" operator="equal">
      <formula>0</formula>
    </cfRule>
  </conditionalFormatting>
  <conditionalFormatting sqref="H411">
    <cfRule type="cellIs" dxfId="4819" priority="117" operator="equal">
      <formula>0</formula>
    </cfRule>
  </conditionalFormatting>
  <conditionalFormatting sqref="H411">
    <cfRule type="cellIs" dxfId="4818" priority="118" operator="equal">
      <formula>0</formula>
    </cfRule>
  </conditionalFormatting>
  <conditionalFormatting sqref="H411">
    <cfRule type="cellIs" dxfId="4817" priority="119" operator="equal">
      <formula>0</formula>
    </cfRule>
  </conditionalFormatting>
  <conditionalFormatting sqref="H411">
    <cfRule type="cellIs" dxfId="4816" priority="120" operator="equal">
      <formula>0</formula>
    </cfRule>
  </conditionalFormatting>
  <conditionalFormatting sqref="H411">
    <cfRule type="cellIs" dxfId="4815" priority="121" operator="equal">
      <formula>0</formula>
    </cfRule>
  </conditionalFormatting>
  <conditionalFormatting sqref="H455">
    <cfRule type="cellIs" dxfId="4814" priority="122" operator="equal">
      <formula>0</formula>
    </cfRule>
  </conditionalFormatting>
  <conditionalFormatting sqref="H455">
    <cfRule type="cellIs" dxfId="4813" priority="123" operator="equal">
      <formula>0</formula>
    </cfRule>
  </conditionalFormatting>
  <conditionalFormatting sqref="H455">
    <cfRule type="cellIs" dxfId="4812" priority="124" operator="equal">
      <formula>0</formula>
    </cfRule>
  </conditionalFormatting>
  <conditionalFormatting sqref="H455">
    <cfRule type="cellIs" dxfId="4811" priority="125" operator="equal">
      <formula>0</formula>
    </cfRule>
  </conditionalFormatting>
  <conditionalFormatting sqref="H455">
    <cfRule type="cellIs" dxfId="4810" priority="126" operator="equal">
      <formula>0</formula>
    </cfRule>
  </conditionalFormatting>
  <conditionalFormatting sqref="H455">
    <cfRule type="cellIs" dxfId="4809" priority="127" operator="equal">
      <formula>0</formula>
    </cfRule>
  </conditionalFormatting>
  <conditionalFormatting sqref="H455">
    <cfRule type="cellIs" dxfId="4808" priority="128" operator="equal">
      <formula>0</formula>
    </cfRule>
  </conditionalFormatting>
  <conditionalFormatting sqref="H455">
    <cfRule type="cellIs" dxfId="4807" priority="129" operator="equal">
      <formula>0</formula>
    </cfRule>
  </conditionalFormatting>
  <conditionalFormatting sqref="H455">
    <cfRule type="cellIs" dxfId="4806" priority="130" operator="equal">
      <formula>0</formula>
    </cfRule>
  </conditionalFormatting>
  <conditionalFormatting sqref="H499">
    <cfRule type="cellIs" dxfId="4805" priority="131" operator="equal">
      <formula>0</formula>
    </cfRule>
  </conditionalFormatting>
  <conditionalFormatting sqref="H499">
    <cfRule type="cellIs" dxfId="4804" priority="132" operator="equal">
      <formula>0</formula>
    </cfRule>
  </conditionalFormatting>
  <conditionalFormatting sqref="H499">
    <cfRule type="cellIs" dxfId="4803" priority="133" operator="equal">
      <formula>0</formula>
    </cfRule>
  </conditionalFormatting>
  <conditionalFormatting sqref="H499">
    <cfRule type="cellIs" dxfId="4802" priority="134" operator="equal">
      <formula>0</formula>
    </cfRule>
  </conditionalFormatting>
  <conditionalFormatting sqref="H499">
    <cfRule type="cellIs" dxfId="4801" priority="135" operator="equal">
      <formula>0</formula>
    </cfRule>
  </conditionalFormatting>
  <conditionalFormatting sqref="H499">
    <cfRule type="cellIs" dxfId="4800" priority="136" operator="equal">
      <formula>0</formula>
    </cfRule>
  </conditionalFormatting>
  <conditionalFormatting sqref="H499">
    <cfRule type="cellIs" dxfId="4799" priority="137" operator="equal">
      <formula>0</formula>
    </cfRule>
  </conditionalFormatting>
  <conditionalFormatting sqref="H499">
    <cfRule type="cellIs" dxfId="4798" priority="138" operator="equal">
      <formula>0</formula>
    </cfRule>
  </conditionalFormatting>
  <conditionalFormatting sqref="H499">
    <cfRule type="cellIs" dxfId="4797" priority="139" operator="equal">
      <formula>0</formula>
    </cfRule>
  </conditionalFormatting>
  <conditionalFormatting sqref="H543">
    <cfRule type="cellIs" dxfId="4796" priority="140" operator="equal">
      <formula>0</formula>
    </cfRule>
  </conditionalFormatting>
  <conditionalFormatting sqref="H543">
    <cfRule type="cellIs" dxfId="4795" priority="141" operator="equal">
      <formula>0</formula>
    </cfRule>
  </conditionalFormatting>
  <conditionalFormatting sqref="H543">
    <cfRule type="cellIs" dxfId="4794" priority="142" operator="equal">
      <formula>0</formula>
    </cfRule>
  </conditionalFormatting>
  <conditionalFormatting sqref="H543">
    <cfRule type="cellIs" dxfId="4793" priority="143" operator="equal">
      <formula>0</formula>
    </cfRule>
  </conditionalFormatting>
  <conditionalFormatting sqref="H543">
    <cfRule type="cellIs" dxfId="4792" priority="144" operator="equal">
      <formula>0</formula>
    </cfRule>
  </conditionalFormatting>
  <conditionalFormatting sqref="H543">
    <cfRule type="cellIs" dxfId="4791" priority="145" operator="equal">
      <formula>0</formula>
    </cfRule>
  </conditionalFormatting>
  <conditionalFormatting sqref="H543">
    <cfRule type="cellIs" dxfId="4790" priority="146" operator="equal">
      <formula>0</formula>
    </cfRule>
  </conditionalFormatting>
  <conditionalFormatting sqref="H543">
    <cfRule type="cellIs" dxfId="4789" priority="147" operator="equal">
      <formula>0</formula>
    </cfRule>
  </conditionalFormatting>
  <conditionalFormatting sqref="H543">
    <cfRule type="cellIs" dxfId="4788" priority="148" operator="equal">
      <formula>0</formula>
    </cfRule>
  </conditionalFormatting>
  <conditionalFormatting sqref="H587">
    <cfRule type="cellIs" dxfId="4787" priority="149" operator="equal">
      <formula>0</formula>
    </cfRule>
  </conditionalFormatting>
  <conditionalFormatting sqref="H587">
    <cfRule type="cellIs" dxfId="4786" priority="150" operator="equal">
      <formula>0</formula>
    </cfRule>
  </conditionalFormatting>
  <conditionalFormatting sqref="H587">
    <cfRule type="cellIs" dxfId="4785" priority="151" operator="equal">
      <formula>0</formula>
    </cfRule>
  </conditionalFormatting>
  <conditionalFormatting sqref="H587">
    <cfRule type="cellIs" dxfId="4784" priority="152" operator="equal">
      <formula>0</formula>
    </cfRule>
  </conditionalFormatting>
  <conditionalFormatting sqref="H587">
    <cfRule type="cellIs" dxfId="4783" priority="153" operator="equal">
      <formula>0</formula>
    </cfRule>
  </conditionalFormatting>
  <conditionalFormatting sqref="H587">
    <cfRule type="cellIs" dxfId="4782" priority="154" operator="equal">
      <formula>0</formula>
    </cfRule>
  </conditionalFormatting>
  <conditionalFormatting sqref="H587">
    <cfRule type="cellIs" dxfId="4781" priority="155" operator="equal">
      <formula>0</formula>
    </cfRule>
  </conditionalFormatting>
  <conditionalFormatting sqref="H587">
    <cfRule type="cellIs" dxfId="4780" priority="156" operator="equal">
      <formula>0</formula>
    </cfRule>
  </conditionalFormatting>
  <conditionalFormatting sqref="H587">
    <cfRule type="cellIs" dxfId="4779" priority="157" operator="equal">
      <formula>0</formula>
    </cfRule>
  </conditionalFormatting>
  <conditionalFormatting sqref="H631">
    <cfRule type="cellIs" dxfId="4778" priority="158" operator="equal">
      <formula>0</formula>
    </cfRule>
  </conditionalFormatting>
  <conditionalFormatting sqref="H631">
    <cfRule type="cellIs" dxfId="4777" priority="159" operator="equal">
      <formula>0</formula>
    </cfRule>
  </conditionalFormatting>
  <conditionalFormatting sqref="H631">
    <cfRule type="cellIs" dxfId="4776" priority="160" operator="equal">
      <formula>0</formula>
    </cfRule>
  </conditionalFormatting>
  <conditionalFormatting sqref="H631">
    <cfRule type="cellIs" dxfId="4775" priority="161" operator="equal">
      <formula>0</formula>
    </cfRule>
  </conditionalFormatting>
  <conditionalFormatting sqref="H631">
    <cfRule type="cellIs" dxfId="4774" priority="162" operator="equal">
      <formula>0</formula>
    </cfRule>
  </conditionalFormatting>
  <conditionalFormatting sqref="H631">
    <cfRule type="cellIs" dxfId="4773" priority="163" operator="equal">
      <formula>0</formula>
    </cfRule>
  </conditionalFormatting>
  <conditionalFormatting sqref="H631">
    <cfRule type="cellIs" dxfId="4772" priority="164" operator="equal">
      <formula>0</formula>
    </cfRule>
  </conditionalFormatting>
  <conditionalFormatting sqref="H631">
    <cfRule type="cellIs" dxfId="4771" priority="165" operator="equal">
      <formula>0</formula>
    </cfRule>
  </conditionalFormatting>
  <conditionalFormatting sqref="H631">
    <cfRule type="cellIs" dxfId="4770" priority="166" operator="equal">
      <formula>0</formula>
    </cfRule>
  </conditionalFormatting>
  <conditionalFormatting sqref="H675">
    <cfRule type="cellIs" dxfId="4769" priority="167" operator="equal">
      <formula>0</formula>
    </cfRule>
  </conditionalFormatting>
  <conditionalFormatting sqref="H675">
    <cfRule type="cellIs" dxfId="4768" priority="168" operator="equal">
      <formula>0</formula>
    </cfRule>
  </conditionalFormatting>
  <conditionalFormatting sqref="H675">
    <cfRule type="cellIs" dxfId="4767" priority="169" operator="equal">
      <formula>0</formula>
    </cfRule>
  </conditionalFormatting>
  <conditionalFormatting sqref="H675">
    <cfRule type="cellIs" dxfId="4766" priority="170" operator="equal">
      <formula>0</formula>
    </cfRule>
  </conditionalFormatting>
  <conditionalFormatting sqref="H675">
    <cfRule type="cellIs" dxfId="4765" priority="171" operator="equal">
      <formula>0</formula>
    </cfRule>
  </conditionalFormatting>
  <conditionalFormatting sqref="H675">
    <cfRule type="cellIs" dxfId="4764" priority="172" operator="equal">
      <formula>0</formula>
    </cfRule>
  </conditionalFormatting>
  <conditionalFormatting sqref="H675">
    <cfRule type="cellIs" dxfId="4763" priority="173" operator="equal">
      <formula>0</formula>
    </cfRule>
  </conditionalFormatting>
  <conditionalFormatting sqref="H675">
    <cfRule type="cellIs" dxfId="4762" priority="174" operator="equal">
      <formula>0</formula>
    </cfRule>
  </conditionalFormatting>
  <conditionalFormatting sqref="H675">
    <cfRule type="cellIs" dxfId="4761" priority="175" operator="equal">
      <formula>0</formula>
    </cfRule>
  </conditionalFormatting>
  <conditionalFormatting sqref="H631">
    <cfRule type="cellIs" dxfId="4760" priority="176" operator="equal">
      <formula>0</formula>
    </cfRule>
  </conditionalFormatting>
  <conditionalFormatting sqref="H631">
    <cfRule type="cellIs" dxfId="4759" priority="177" operator="equal">
      <formula>0</formula>
    </cfRule>
  </conditionalFormatting>
  <conditionalFormatting sqref="H631">
    <cfRule type="cellIs" dxfId="4758" priority="178" operator="equal">
      <formula>0</formula>
    </cfRule>
  </conditionalFormatting>
  <conditionalFormatting sqref="H631">
    <cfRule type="cellIs" dxfId="4757" priority="179" operator="equal">
      <formula>0</formula>
    </cfRule>
  </conditionalFormatting>
  <conditionalFormatting sqref="H631">
    <cfRule type="cellIs" dxfId="4756" priority="180" operator="equal">
      <formula>0</formula>
    </cfRule>
  </conditionalFormatting>
  <conditionalFormatting sqref="H631">
    <cfRule type="cellIs" dxfId="4755" priority="181" operator="equal">
      <formula>0</formula>
    </cfRule>
  </conditionalFormatting>
  <conditionalFormatting sqref="H631">
    <cfRule type="cellIs" dxfId="4754" priority="182" operator="equal">
      <formula>0</formula>
    </cfRule>
  </conditionalFormatting>
  <conditionalFormatting sqref="H631">
    <cfRule type="cellIs" dxfId="4753" priority="183" operator="equal">
      <formula>0</formula>
    </cfRule>
  </conditionalFormatting>
  <conditionalFormatting sqref="H631">
    <cfRule type="cellIs" dxfId="4752" priority="184" operator="equal">
      <formula>0</formula>
    </cfRule>
  </conditionalFormatting>
  <conditionalFormatting sqref="H631">
    <cfRule type="cellIs" dxfId="4751" priority="185" operator="equal">
      <formula>0</formula>
    </cfRule>
  </conditionalFormatting>
  <conditionalFormatting sqref="H631">
    <cfRule type="cellIs" dxfId="4750" priority="186" operator="equal">
      <formula>0</formula>
    </cfRule>
  </conditionalFormatting>
  <conditionalFormatting sqref="H631">
    <cfRule type="cellIs" dxfId="4749" priority="187" operator="equal">
      <formula>0</formula>
    </cfRule>
  </conditionalFormatting>
  <conditionalFormatting sqref="H631">
    <cfRule type="cellIs" dxfId="4748" priority="188" operator="equal">
      <formula>0</formula>
    </cfRule>
  </conditionalFormatting>
  <conditionalFormatting sqref="H587">
    <cfRule type="cellIs" dxfId="4747" priority="189" operator="equal">
      <formula>0</formula>
    </cfRule>
  </conditionalFormatting>
  <conditionalFormatting sqref="H587">
    <cfRule type="cellIs" dxfId="4746" priority="190" operator="equal">
      <formula>0</formula>
    </cfRule>
  </conditionalFormatting>
  <conditionalFormatting sqref="H587">
    <cfRule type="cellIs" dxfId="4745" priority="191" operator="equal">
      <formula>0</formula>
    </cfRule>
  </conditionalFormatting>
  <conditionalFormatting sqref="H587">
    <cfRule type="cellIs" dxfId="4744" priority="192" operator="equal">
      <formula>0</formula>
    </cfRule>
  </conditionalFormatting>
  <conditionalFormatting sqref="H587">
    <cfRule type="cellIs" dxfId="4743" priority="193" operator="equal">
      <formula>0</formula>
    </cfRule>
  </conditionalFormatting>
  <conditionalFormatting sqref="H587">
    <cfRule type="cellIs" dxfId="4742" priority="194" operator="equal">
      <formula>0</formula>
    </cfRule>
  </conditionalFormatting>
  <conditionalFormatting sqref="H587">
    <cfRule type="cellIs" dxfId="4741" priority="195" operator="equal">
      <formula>0</formula>
    </cfRule>
  </conditionalFormatting>
  <conditionalFormatting sqref="H587">
    <cfRule type="cellIs" dxfId="4740" priority="196" operator="equal">
      <formula>0</formula>
    </cfRule>
  </conditionalFormatting>
  <conditionalFormatting sqref="H587">
    <cfRule type="cellIs" dxfId="4739" priority="197" operator="equal">
      <formula>0</formula>
    </cfRule>
  </conditionalFormatting>
  <conditionalFormatting sqref="H587">
    <cfRule type="cellIs" dxfId="4738" priority="198" operator="equal">
      <formula>0</formula>
    </cfRule>
  </conditionalFormatting>
  <conditionalFormatting sqref="H587">
    <cfRule type="cellIs" dxfId="4737" priority="199" operator="equal">
      <formula>0</formula>
    </cfRule>
  </conditionalFormatting>
  <conditionalFormatting sqref="H587">
    <cfRule type="cellIs" dxfId="4736" priority="200" operator="equal">
      <formula>0</formula>
    </cfRule>
  </conditionalFormatting>
  <conditionalFormatting sqref="H587">
    <cfRule type="cellIs" dxfId="4735" priority="201" operator="equal">
      <formula>0</formula>
    </cfRule>
  </conditionalFormatting>
  <conditionalFormatting sqref="H543">
    <cfRule type="cellIs" dxfId="4734" priority="202" operator="equal">
      <formula>0</formula>
    </cfRule>
  </conditionalFormatting>
  <conditionalFormatting sqref="H543">
    <cfRule type="cellIs" dxfId="4733" priority="203" operator="equal">
      <formula>0</formula>
    </cfRule>
  </conditionalFormatting>
  <conditionalFormatting sqref="H543">
    <cfRule type="cellIs" dxfId="4732" priority="204" operator="equal">
      <formula>0</formula>
    </cfRule>
  </conditionalFormatting>
  <conditionalFormatting sqref="H543">
    <cfRule type="cellIs" dxfId="4731" priority="205" operator="equal">
      <formula>0</formula>
    </cfRule>
  </conditionalFormatting>
  <conditionalFormatting sqref="H543">
    <cfRule type="cellIs" dxfId="4730" priority="206" operator="equal">
      <formula>0</formula>
    </cfRule>
  </conditionalFormatting>
  <conditionalFormatting sqref="H543">
    <cfRule type="cellIs" dxfId="4729" priority="207" operator="equal">
      <formula>0</formula>
    </cfRule>
  </conditionalFormatting>
  <conditionalFormatting sqref="H543">
    <cfRule type="cellIs" dxfId="4728" priority="208" operator="equal">
      <formula>0</formula>
    </cfRule>
  </conditionalFormatting>
  <conditionalFormatting sqref="H543">
    <cfRule type="cellIs" dxfId="4727" priority="209" operator="equal">
      <formula>0</formula>
    </cfRule>
  </conditionalFormatting>
  <conditionalFormatting sqref="H543">
    <cfRule type="cellIs" dxfId="4726" priority="210" operator="equal">
      <formula>0</formula>
    </cfRule>
  </conditionalFormatting>
  <conditionalFormatting sqref="H543">
    <cfRule type="cellIs" dxfId="4725" priority="211" operator="equal">
      <formula>0</formula>
    </cfRule>
  </conditionalFormatting>
  <conditionalFormatting sqref="H543">
    <cfRule type="cellIs" dxfId="4724" priority="212" operator="equal">
      <formula>0</formula>
    </cfRule>
  </conditionalFormatting>
  <conditionalFormatting sqref="H543">
    <cfRule type="cellIs" dxfId="4723" priority="213" operator="equal">
      <formula>0</formula>
    </cfRule>
  </conditionalFormatting>
  <conditionalFormatting sqref="H543">
    <cfRule type="cellIs" dxfId="4722" priority="214" operator="equal">
      <formula>0</formula>
    </cfRule>
  </conditionalFormatting>
  <conditionalFormatting sqref="H499">
    <cfRule type="cellIs" dxfId="4721" priority="215" operator="equal">
      <formula>0</formula>
    </cfRule>
  </conditionalFormatting>
  <conditionalFormatting sqref="H499">
    <cfRule type="cellIs" dxfId="4720" priority="216" operator="equal">
      <formula>0</formula>
    </cfRule>
  </conditionalFormatting>
  <conditionalFormatting sqref="H499">
    <cfRule type="cellIs" dxfId="4719" priority="217" operator="equal">
      <formula>0</formula>
    </cfRule>
  </conditionalFormatting>
  <conditionalFormatting sqref="H499">
    <cfRule type="cellIs" dxfId="4718" priority="218" operator="equal">
      <formula>0</formula>
    </cfRule>
  </conditionalFormatting>
  <conditionalFormatting sqref="H499">
    <cfRule type="cellIs" dxfId="4717" priority="219" operator="equal">
      <formula>0</formula>
    </cfRule>
  </conditionalFormatting>
  <conditionalFormatting sqref="H499">
    <cfRule type="cellIs" dxfId="4716" priority="220" operator="equal">
      <formula>0</formula>
    </cfRule>
  </conditionalFormatting>
  <conditionalFormatting sqref="H499">
    <cfRule type="cellIs" dxfId="4715" priority="221" operator="equal">
      <formula>0</formula>
    </cfRule>
  </conditionalFormatting>
  <conditionalFormatting sqref="H499">
    <cfRule type="cellIs" dxfId="4714" priority="222" operator="equal">
      <formula>0</formula>
    </cfRule>
  </conditionalFormatting>
  <conditionalFormatting sqref="H499">
    <cfRule type="cellIs" dxfId="4713" priority="223" operator="equal">
      <formula>0</formula>
    </cfRule>
  </conditionalFormatting>
  <conditionalFormatting sqref="H499">
    <cfRule type="cellIs" dxfId="4712" priority="224" operator="equal">
      <formula>0</formula>
    </cfRule>
  </conditionalFormatting>
  <conditionalFormatting sqref="H499">
    <cfRule type="cellIs" dxfId="4711" priority="225" operator="equal">
      <formula>0</formula>
    </cfRule>
  </conditionalFormatting>
  <conditionalFormatting sqref="H499">
    <cfRule type="cellIs" dxfId="4710" priority="226" operator="equal">
      <formula>0</formula>
    </cfRule>
  </conditionalFormatting>
  <conditionalFormatting sqref="H499">
    <cfRule type="cellIs" dxfId="4709" priority="227" operator="equal">
      <formula>0</formula>
    </cfRule>
  </conditionalFormatting>
  <conditionalFormatting sqref="H455">
    <cfRule type="cellIs" dxfId="4708" priority="228" operator="equal">
      <formula>0</formula>
    </cfRule>
  </conditionalFormatting>
  <conditionalFormatting sqref="H455">
    <cfRule type="cellIs" dxfId="4707" priority="229" operator="equal">
      <formula>0</formula>
    </cfRule>
  </conditionalFormatting>
  <conditionalFormatting sqref="H455">
    <cfRule type="cellIs" dxfId="4706" priority="230" operator="equal">
      <formula>0</formula>
    </cfRule>
  </conditionalFormatting>
  <conditionalFormatting sqref="H455">
    <cfRule type="cellIs" dxfId="4705" priority="231" operator="equal">
      <formula>0</formula>
    </cfRule>
  </conditionalFormatting>
  <conditionalFormatting sqref="H455">
    <cfRule type="cellIs" dxfId="4704" priority="232" operator="equal">
      <formula>0</formula>
    </cfRule>
  </conditionalFormatting>
  <conditionalFormatting sqref="H455">
    <cfRule type="cellIs" dxfId="4703" priority="233" operator="equal">
      <formula>0</formula>
    </cfRule>
  </conditionalFormatting>
  <conditionalFormatting sqref="H455">
    <cfRule type="cellIs" dxfId="4702" priority="234" operator="equal">
      <formula>0</formula>
    </cfRule>
  </conditionalFormatting>
  <conditionalFormatting sqref="H455">
    <cfRule type="cellIs" dxfId="4701" priority="235" operator="equal">
      <formula>0</formula>
    </cfRule>
  </conditionalFormatting>
  <conditionalFormatting sqref="H455">
    <cfRule type="cellIs" dxfId="4700" priority="236" operator="equal">
      <formula>0</formula>
    </cfRule>
  </conditionalFormatting>
  <conditionalFormatting sqref="H455">
    <cfRule type="cellIs" dxfId="4699" priority="237" operator="equal">
      <formula>0</formula>
    </cfRule>
  </conditionalFormatting>
  <conditionalFormatting sqref="H455">
    <cfRule type="cellIs" dxfId="4698" priority="238" operator="equal">
      <formula>0</formula>
    </cfRule>
  </conditionalFormatting>
  <conditionalFormatting sqref="H455">
    <cfRule type="cellIs" dxfId="4697" priority="239" operator="equal">
      <formula>0</formula>
    </cfRule>
  </conditionalFormatting>
  <conditionalFormatting sqref="H455">
    <cfRule type="cellIs" dxfId="4696" priority="240" operator="equal">
      <formula>0</formula>
    </cfRule>
  </conditionalFormatting>
  <conditionalFormatting sqref="H411">
    <cfRule type="cellIs" dxfId="4695" priority="241" operator="equal">
      <formula>0</formula>
    </cfRule>
  </conditionalFormatting>
  <conditionalFormatting sqref="H411">
    <cfRule type="cellIs" dxfId="4694" priority="242" operator="equal">
      <formula>0</formula>
    </cfRule>
  </conditionalFormatting>
  <conditionalFormatting sqref="H411">
    <cfRule type="cellIs" dxfId="4693" priority="243" operator="equal">
      <formula>0</formula>
    </cfRule>
  </conditionalFormatting>
  <conditionalFormatting sqref="H411">
    <cfRule type="cellIs" dxfId="4692" priority="244" operator="equal">
      <formula>0</formula>
    </cfRule>
  </conditionalFormatting>
  <conditionalFormatting sqref="H411">
    <cfRule type="cellIs" dxfId="4691" priority="245" operator="equal">
      <formula>0</formula>
    </cfRule>
  </conditionalFormatting>
  <conditionalFormatting sqref="H411">
    <cfRule type="cellIs" dxfId="4690" priority="246" operator="equal">
      <formula>0</formula>
    </cfRule>
  </conditionalFormatting>
  <conditionalFormatting sqref="H411">
    <cfRule type="cellIs" dxfId="4689" priority="247" operator="equal">
      <formula>0</formula>
    </cfRule>
  </conditionalFormatting>
  <conditionalFormatting sqref="H411">
    <cfRule type="cellIs" dxfId="4688" priority="248" operator="equal">
      <formula>0</formula>
    </cfRule>
  </conditionalFormatting>
  <conditionalFormatting sqref="H411">
    <cfRule type="cellIs" dxfId="4687" priority="249" operator="equal">
      <formula>0</formula>
    </cfRule>
  </conditionalFormatting>
  <conditionalFormatting sqref="H411">
    <cfRule type="cellIs" dxfId="4686" priority="250" operator="equal">
      <formula>0</formula>
    </cfRule>
  </conditionalFormatting>
  <conditionalFormatting sqref="H411">
    <cfRule type="cellIs" dxfId="4685" priority="251" operator="equal">
      <formula>0</formula>
    </cfRule>
  </conditionalFormatting>
  <conditionalFormatting sqref="H411">
    <cfRule type="cellIs" dxfId="4684" priority="252" operator="equal">
      <formula>0</formula>
    </cfRule>
  </conditionalFormatting>
  <conditionalFormatting sqref="H411">
    <cfRule type="cellIs" dxfId="4683" priority="253" operator="equal">
      <formula>0</formula>
    </cfRule>
  </conditionalFormatting>
  <conditionalFormatting sqref="H367">
    <cfRule type="cellIs" dxfId="4682" priority="254" operator="equal">
      <formula>0</formula>
    </cfRule>
  </conditionalFormatting>
  <conditionalFormatting sqref="H367">
    <cfRule type="cellIs" dxfId="4681" priority="255" operator="equal">
      <formula>0</formula>
    </cfRule>
  </conditionalFormatting>
  <conditionalFormatting sqref="H367">
    <cfRule type="cellIs" dxfId="4680" priority="256" operator="equal">
      <formula>0</formula>
    </cfRule>
  </conditionalFormatting>
  <conditionalFormatting sqref="H367">
    <cfRule type="cellIs" dxfId="4679" priority="257" operator="equal">
      <formula>0</formula>
    </cfRule>
  </conditionalFormatting>
  <conditionalFormatting sqref="H367">
    <cfRule type="cellIs" dxfId="4678" priority="258" operator="equal">
      <formula>0</formula>
    </cfRule>
  </conditionalFormatting>
  <conditionalFormatting sqref="H367">
    <cfRule type="cellIs" dxfId="4677" priority="259" operator="equal">
      <formula>0</formula>
    </cfRule>
  </conditionalFormatting>
  <conditionalFormatting sqref="H367">
    <cfRule type="cellIs" dxfId="4676" priority="260" operator="equal">
      <formula>0</formula>
    </cfRule>
  </conditionalFormatting>
  <conditionalFormatting sqref="H367">
    <cfRule type="cellIs" dxfId="4675" priority="261" operator="equal">
      <formula>0</formula>
    </cfRule>
  </conditionalFormatting>
  <conditionalFormatting sqref="H367">
    <cfRule type="cellIs" dxfId="4674" priority="262" operator="equal">
      <formula>0</formula>
    </cfRule>
  </conditionalFormatting>
  <conditionalFormatting sqref="H367">
    <cfRule type="cellIs" dxfId="4673" priority="263" operator="equal">
      <formula>0</formula>
    </cfRule>
  </conditionalFormatting>
  <conditionalFormatting sqref="H367">
    <cfRule type="cellIs" dxfId="4672" priority="264" operator="equal">
      <formula>0</formula>
    </cfRule>
  </conditionalFormatting>
  <conditionalFormatting sqref="H367">
    <cfRule type="cellIs" dxfId="4671" priority="265" operator="equal">
      <formula>0</formula>
    </cfRule>
  </conditionalFormatting>
  <conditionalFormatting sqref="H367">
    <cfRule type="cellIs" dxfId="4670" priority="266" operator="equal">
      <formula>0</formula>
    </cfRule>
  </conditionalFormatting>
  <conditionalFormatting sqref="H323">
    <cfRule type="cellIs" dxfId="4669" priority="267" operator="equal">
      <formula>0</formula>
    </cfRule>
  </conditionalFormatting>
  <conditionalFormatting sqref="H323">
    <cfRule type="cellIs" dxfId="4668" priority="268" operator="equal">
      <formula>0</formula>
    </cfRule>
  </conditionalFormatting>
  <conditionalFormatting sqref="H323">
    <cfRule type="cellIs" dxfId="4667" priority="269" operator="equal">
      <formula>0</formula>
    </cfRule>
  </conditionalFormatting>
  <conditionalFormatting sqref="H323">
    <cfRule type="cellIs" dxfId="4666" priority="270" operator="equal">
      <formula>0</formula>
    </cfRule>
  </conditionalFormatting>
  <conditionalFormatting sqref="H323">
    <cfRule type="cellIs" dxfId="4665" priority="271" operator="equal">
      <formula>0</formula>
    </cfRule>
  </conditionalFormatting>
  <conditionalFormatting sqref="H323">
    <cfRule type="cellIs" dxfId="4664" priority="272" operator="equal">
      <formula>0</formula>
    </cfRule>
  </conditionalFormatting>
  <conditionalFormatting sqref="H323">
    <cfRule type="cellIs" dxfId="4663" priority="273" operator="equal">
      <formula>0</formula>
    </cfRule>
  </conditionalFormatting>
  <conditionalFormatting sqref="H323">
    <cfRule type="cellIs" dxfId="4662" priority="274" operator="equal">
      <formula>0</formula>
    </cfRule>
  </conditionalFormatting>
  <conditionalFormatting sqref="H323">
    <cfRule type="cellIs" dxfId="4661" priority="275" operator="equal">
      <formula>0</formula>
    </cfRule>
  </conditionalFormatting>
  <conditionalFormatting sqref="H323">
    <cfRule type="cellIs" dxfId="4660" priority="276" operator="equal">
      <formula>0</formula>
    </cfRule>
  </conditionalFormatting>
  <conditionalFormatting sqref="H323">
    <cfRule type="cellIs" dxfId="4659" priority="277" operator="equal">
      <formula>0</formula>
    </cfRule>
  </conditionalFormatting>
  <conditionalFormatting sqref="H323">
    <cfRule type="cellIs" dxfId="4658" priority="278" operator="equal">
      <formula>0</formula>
    </cfRule>
  </conditionalFormatting>
  <conditionalFormatting sqref="H323">
    <cfRule type="cellIs" dxfId="4657" priority="279" operator="equal">
      <formula>0</formula>
    </cfRule>
  </conditionalFormatting>
  <conditionalFormatting sqref="H279">
    <cfRule type="cellIs" dxfId="4656" priority="280" operator="equal">
      <formula>0</formula>
    </cfRule>
  </conditionalFormatting>
  <conditionalFormatting sqref="H279">
    <cfRule type="cellIs" dxfId="4655" priority="281" operator="equal">
      <formula>0</formula>
    </cfRule>
  </conditionalFormatting>
  <conditionalFormatting sqref="H279">
    <cfRule type="cellIs" dxfId="4654" priority="282" operator="equal">
      <formula>0</formula>
    </cfRule>
  </conditionalFormatting>
  <conditionalFormatting sqref="H279">
    <cfRule type="cellIs" dxfId="4653" priority="283" operator="equal">
      <formula>0</formula>
    </cfRule>
  </conditionalFormatting>
  <conditionalFormatting sqref="H279">
    <cfRule type="cellIs" dxfId="4652" priority="284" operator="equal">
      <formula>0</formula>
    </cfRule>
  </conditionalFormatting>
  <conditionalFormatting sqref="H279">
    <cfRule type="cellIs" dxfId="4651" priority="285" operator="equal">
      <formula>0</formula>
    </cfRule>
  </conditionalFormatting>
  <conditionalFormatting sqref="H279">
    <cfRule type="cellIs" dxfId="4650" priority="286" operator="equal">
      <formula>0</formula>
    </cfRule>
  </conditionalFormatting>
  <conditionalFormatting sqref="H279">
    <cfRule type="cellIs" dxfId="4649" priority="287" operator="equal">
      <formula>0</formula>
    </cfRule>
  </conditionalFormatting>
  <conditionalFormatting sqref="H279">
    <cfRule type="cellIs" dxfId="4648" priority="288" operator="equal">
      <formula>0</formula>
    </cfRule>
  </conditionalFormatting>
  <conditionalFormatting sqref="H279">
    <cfRule type="cellIs" dxfId="4647" priority="289" operator="equal">
      <formula>0</formula>
    </cfRule>
  </conditionalFormatting>
  <conditionalFormatting sqref="H279">
    <cfRule type="cellIs" dxfId="4646" priority="290" operator="equal">
      <formula>0</formula>
    </cfRule>
  </conditionalFormatting>
  <conditionalFormatting sqref="H279">
    <cfRule type="cellIs" dxfId="4645" priority="291" operator="equal">
      <formula>0</formula>
    </cfRule>
  </conditionalFormatting>
  <conditionalFormatting sqref="H279">
    <cfRule type="cellIs" dxfId="4644" priority="292" operator="equal">
      <formula>0</formula>
    </cfRule>
  </conditionalFormatting>
  <conditionalFormatting sqref="H235">
    <cfRule type="cellIs" dxfId="4643" priority="293" operator="equal">
      <formula>0</formula>
    </cfRule>
  </conditionalFormatting>
  <conditionalFormatting sqref="H235">
    <cfRule type="cellIs" dxfId="4642" priority="294" operator="equal">
      <formula>0</formula>
    </cfRule>
  </conditionalFormatting>
  <conditionalFormatting sqref="H235">
    <cfRule type="cellIs" dxfId="4641" priority="295" operator="equal">
      <formula>0</formula>
    </cfRule>
  </conditionalFormatting>
  <conditionalFormatting sqref="H235">
    <cfRule type="cellIs" dxfId="4640" priority="296" operator="equal">
      <formula>0</formula>
    </cfRule>
  </conditionalFormatting>
  <conditionalFormatting sqref="H235">
    <cfRule type="cellIs" dxfId="4639" priority="297" operator="equal">
      <formula>0</formula>
    </cfRule>
  </conditionalFormatting>
  <conditionalFormatting sqref="H235">
    <cfRule type="cellIs" dxfId="4638" priority="298" operator="equal">
      <formula>0</formula>
    </cfRule>
  </conditionalFormatting>
  <conditionalFormatting sqref="H235">
    <cfRule type="cellIs" dxfId="4637" priority="299" operator="equal">
      <formula>0</formula>
    </cfRule>
  </conditionalFormatting>
  <conditionalFormatting sqref="H235">
    <cfRule type="cellIs" dxfId="4636" priority="300" operator="equal">
      <formula>0</formula>
    </cfRule>
  </conditionalFormatting>
  <conditionalFormatting sqref="H235">
    <cfRule type="cellIs" dxfId="4635" priority="301" operator="equal">
      <formula>0</formula>
    </cfRule>
  </conditionalFormatting>
  <conditionalFormatting sqref="H235">
    <cfRule type="cellIs" dxfId="4634" priority="302" operator="equal">
      <formula>0</formula>
    </cfRule>
  </conditionalFormatting>
  <conditionalFormatting sqref="H235">
    <cfRule type="cellIs" dxfId="4633" priority="303" operator="equal">
      <formula>0</formula>
    </cfRule>
  </conditionalFormatting>
  <conditionalFormatting sqref="H235">
    <cfRule type="cellIs" dxfId="4632" priority="304" operator="equal">
      <formula>0</formula>
    </cfRule>
  </conditionalFormatting>
  <conditionalFormatting sqref="H235">
    <cfRule type="cellIs" dxfId="4631" priority="305" operator="equal">
      <formula>0</formula>
    </cfRule>
  </conditionalFormatting>
  <conditionalFormatting sqref="H191">
    <cfRule type="cellIs" dxfId="4630" priority="306" operator="equal">
      <formula>0</formula>
    </cfRule>
  </conditionalFormatting>
  <conditionalFormatting sqref="H191">
    <cfRule type="cellIs" dxfId="4629" priority="307" operator="equal">
      <formula>0</formula>
    </cfRule>
  </conditionalFormatting>
  <conditionalFormatting sqref="H191">
    <cfRule type="cellIs" dxfId="4628" priority="308" operator="equal">
      <formula>0</formula>
    </cfRule>
  </conditionalFormatting>
  <conditionalFormatting sqref="H191">
    <cfRule type="cellIs" dxfId="4627" priority="309" operator="equal">
      <formula>0</formula>
    </cfRule>
  </conditionalFormatting>
  <conditionalFormatting sqref="H191">
    <cfRule type="cellIs" dxfId="4626" priority="310" operator="equal">
      <formula>0</formula>
    </cfRule>
  </conditionalFormatting>
  <conditionalFormatting sqref="H191">
    <cfRule type="cellIs" dxfId="4625" priority="311" operator="equal">
      <formula>0</formula>
    </cfRule>
  </conditionalFormatting>
  <conditionalFormatting sqref="H191">
    <cfRule type="cellIs" dxfId="4624" priority="312" operator="equal">
      <formula>0</formula>
    </cfRule>
  </conditionalFormatting>
  <conditionalFormatting sqref="H191">
    <cfRule type="cellIs" dxfId="4623" priority="313" operator="equal">
      <formula>0</formula>
    </cfRule>
  </conditionalFormatting>
  <conditionalFormatting sqref="H191">
    <cfRule type="cellIs" dxfId="4622" priority="314" operator="equal">
      <formula>0</formula>
    </cfRule>
  </conditionalFormatting>
  <conditionalFormatting sqref="H191">
    <cfRule type="cellIs" dxfId="4621" priority="315" operator="equal">
      <formula>0</formula>
    </cfRule>
  </conditionalFormatting>
  <conditionalFormatting sqref="H191">
    <cfRule type="cellIs" dxfId="4620" priority="316" operator="equal">
      <formula>0</formula>
    </cfRule>
  </conditionalFormatting>
  <conditionalFormatting sqref="H191">
    <cfRule type="cellIs" dxfId="4619" priority="317" operator="equal">
      <formula>0</formula>
    </cfRule>
  </conditionalFormatting>
  <conditionalFormatting sqref="H191">
    <cfRule type="cellIs" dxfId="4618" priority="318" operator="equal">
      <formula>0</formula>
    </cfRule>
  </conditionalFormatting>
  <conditionalFormatting sqref="H147">
    <cfRule type="cellIs" dxfId="4617" priority="319" operator="equal">
      <formula>0</formula>
    </cfRule>
  </conditionalFormatting>
  <conditionalFormatting sqref="H147">
    <cfRule type="cellIs" dxfId="4616" priority="320" operator="equal">
      <formula>0</formula>
    </cfRule>
  </conditionalFormatting>
  <conditionalFormatting sqref="H147">
    <cfRule type="cellIs" dxfId="4615" priority="321" operator="equal">
      <formula>0</formula>
    </cfRule>
  </conditionalFormatting>
  <conditionalFormatting sqref="H147">
    <cfRule type="cellIs" dxfId="4614" priority="322" operator="equal">
      <formula>0</formula>
    </cfRule>
  </conditionalFormatting>
  <conditionalFormatting sqref="H147">
    <cfRule type="cellIs" dxfId="4613" priority="323" operator="equal">
      <formula>0</formula>
    </cfRule>
  </conditionalFormatting>
  <conditionalFormatting sqref="H147">
    <cfRule type="cellIs" dxfId="4612" priority="324" operator="equal">
      <formula>0</formula>
    </cfRule>
  </conditionalFormatting>
  <conditionalFormatting sqref="H147">
    <cfRule type="cellIs" dxfId="4611" priority="325" operator="equal">
      <formula>0</formula>
    </cfRule>
  </conditionalFormatting>
  <conditionalFormatting sqref="H147">
    <cfRule type="cellIs" dxfId="4610" priority="326" operator="equal">
      <formula>0</formula>
    </cfRule>
  </conditionalFormatting>
  <conditionalFormatting sqref="H147">
    <cfRule type="cellIs" dxfId="4609" priority="327" operator="equal">
      <formula>0</formula>
    </cfRule>
  </conditionalFormatting>
  <conditionalFormatting sqref="H147">
    <cfRule type="cellIs" dxfId="4608" priority="328" operator="equal">
      <formula>0</formula>
    </cfRule>
  </conditionalFormatting>
  <conditionalFormatting sqref="H147">
    <cfRule type="cellIs" dxfId="4607" priority="329" operator="equal">
      <formula>0</formula>
    </cfRule>
  </conditionalFormatting>
  <conditionalFormatting sqref="H147">
    <cfRule type="cellIs" dxfId="4606" priority="330" operator="equal">
      <formula>0</formula>
    </cfRule>
  </conditionalFormatting>
  <conditionalFormatting sqref="H147">
    <cfRule type="cellIs" dxfId="4605" priority="331" operator="equal">
      <formula>0</formula>
    </cfRule>
  </conditionalFormatting>
  <conditionalFormatting sqref="H103">
    <cfRule type="cellIs" dxfId="4604" priority="332" operator="equal">
      <formula>0</formula>
    </cfRule>
  </conditionalFormatting>
  <conditionalFormatting sqref="H103">
    <cfRule type="cellIs" dxfId="4603" priority="333" operator="equal">
      <formula>0</formula>
    </cfRule>
  </conditionalFormatting>
  <conditionalFormatting sqref="H103">
    <cfRule type="cellIs" dxfId="4602" priority="334" operator="equal">
      <formula>0</formula>
    </cfRule>
  </conditionalFormatting>
  <conditionalFormatting sqref="H103">
    <cfRule type="cellIs" dxfId="4601" priority="335" operator="equal">
      <formula>0</formula>
    </cfRule>
  </conditionalFormatting>
  <conditionalFormatting sqref="H103">
    <cfRule type="cellIs" dxfId="4600" priority="336" operator="equal">
      <formula>0</formula>
    </cfRule>
  </conditionalFormatting>
  <conditionalFormatting sqref="H103">
    <cfRule type="cellIs" dxfId="4599" priority="337" operator="equal">
      <formula>0</formula>
    </cfRule>
  </conditionalFormatting>
  <conditionalFormatting sqref="H103">
    <cfRule type="cellIs" dxfId="4598" priority="338" operator="equal">
      <formula>0</formula>
    </cfRule>
  </conditionalFormatting>
  <conditionalFormatting sqref="H103">
    <cfRule type="cellIs" dxfId="4597" priority="339" operator="equal">
      <formula>0</formula>
    </cfRule>
  </conditionalFormatting>
  <conditionalFormatting sqref="H103">
    <cfRule type="cellIs" dxfId="4596" priority="340" operator="equal">
      <formula>0</formula>
    </cfRule>
  </conditionalFormatting>
  <conditionalFormatting sqref="H103">
    <cfRule type="cellIs" dxfId="4595" priority="341" operator="equal">
      <formula>0</formula>
    </cfRule>
  </conditionalFormatting>
  <conditionalFormatting sqref="H103">
    <cfRule type="cellIs" dxfId="4594" priority="342" operator="equal">
      <formula>0</formula>
    </cfRule>
  </conditionalFormatting>
  <conditionalFormatting sqref="H103">
    <cfRule type="cellIs" dxfId="4593" priority="343" operator="equal">
      <formula>0</formula>
    </cfRule>
  </conditionalFormatting>
  <conditionalFormatting sqref="H103">
    <cfRule type="cellIs" dxfId="4592" priority="344" operator="equal">
      <formula>0</formula>
    </cfRule>
  </conditionalFormatting>
  <conditionalFormatting sqref="H59">
    <cfRule type="cellIs" dxfId="4591" priority="345" operator="equal">
      <formula>0</formula>
    </cfRule>
  </conditionalFormatting>
  <conditionalFormatting sqref="H59">
    <cfRule type="cellIs" dxfId="4590" priority="346" operator="equal">
      <formula>0</formula>
    </cfRule>
  </conditionalFormatting>
  <conditionalFormatting sqref="H59">
    <cfRule type="cellIs" dxfId="4589" priority="347" operator="equal">
      <formula>0</formula>
    </cfRule>
  </conditionalFormatting>
  <conditionalFormatting sqref="H59">
    <cfRule type="cellIs" dxfId="4588" priority="348" operator="equal">
      <formula>0</formula>
    </cfRule>
  </conditionalFormatting>
  <conditionalFormatting sqref="H59">
    <cfRule type="cellIs" dxfId="4587" priority="349" operator="equal">
      <formula>0</formula>
    </cfRule>
  </conditionalFormatting>
  <conditionalFormatting sqref="H59">
    <cfRule type="cellIs" dxfId="4586" priority="350" operator="equal">
      <formula>0</formula>
    </cfRule>
  </conditionalFormatting>
  <conditionalFormatting sqref="H59">
    <cfRule type="cellIs" dxfId="4585" priority="351" operator="equal">
      <formula>0</formula>
    </cfRule>
  </conditionalFormatting>
  <conditionalFormatting sqref="H59">
    <cfRule type="cellIs" dxfId="4584" priority="352" operator="equal">
      <formula>0</formula>
    </cfRule>
  </conditionalFormatting>
  <conditionalFormatting sqref="H59">
    <cfRule type="cellIs" dxfId="4583" priority="353" operator="equal">
      <formula>0</formula>
    </cfRule>
  </conditionalFormatting>
  <conditionalFormatting sqref="H59">
    <cfRule type="cellIs" dxfId="4582" priority="354" operator="equal">
      <formula>0</formula>
    </cfRule>
  </conditionalFormatting>
  <conditionalFormatting sqref="H59">
    <cfRule type="cellIs" dxfId="4581" priority="355" operator="equal">
      <formula>0</formula>
    </cfRule>
  </conditionalFormatting>
  <conditionalFormatting sqref="H59">
    <cfRule type="cellIs" dxfId="4580" priority="356" operator="equal">
      <formula>0</formula>
    </cfRule>
  </conditionalFormatting>
  <conditionalFormatting sqref="H59">
    <cfRule type="cellIs" dxfId="4579" priority="357" operator="equal">
      <formula>0</formula>
    </cfRule>
  </conditionalFormatting>
  <conditionalFormatting sqref="H59">
    <cfRule type="cellIs" dxfId="4578" priority="358" operator="equal">
      <formula>0</formula>
    </cfRule>
  </conditionalFormatting>
  <conditionalFormatting sqref="H59">
    <cfRule type="cellIs" dxfId="4577" priority="359" operator="equal">
      <formula>0</formula>
    </cfRule>
  </conditionalFormatting>
  <conditionalFormatting sqref="H59">
    <cfRule type="cellIs" dxfId="4576" priority="360" operator="equal">
      <formula>0</formula>
    </cfRule>
  </conditionalFormatting>
  <conditionalFormatting sqref="H59">
    <cfRule type="cellIs" dxfId="4575" priority="361" operator="equal">
      <formula>0</formula>
    </cfRule>
  </conditionalFormatting>
  <conditionalFormatting sqref="H59">
    <cfRule type="cellIs" dxfId="4574" priority="362" operator="equal">
      <formula>0</formula>
    </cfRule>
  </conditionalFormatting>
  <conditionalFormatting sqref="H59">
    <cfRule type="cellIs" dxfId="4573" priority="363" operator="equal">
      <formula>0</formula>
    </cfRule>
  </conditionalFormatting>
  <conditionalFormatting sqref="H59">
    <cfRule type="cellIs" dxfId="4572" priority="364" operator="equal">
      <formula>0</formula>
    </cfRule>
  </conditionalFormatting>
  <conditionalFormatting sqref="H59">
    <cfRule type="cellIs" dxfId="4571" priority="365" operator="equal">
      <formula>0</formula>
    </cfRule>
  </conditionalFormatting>
  <conditionalFormatting sqref="H103">
    <cfRule type="cellIs" dxfId="4570" priority="366" operator="equal">
      <formula>0</formula>
    </cfRule>
  </conditionalFormatting>
  <conditionalFormatting sqref="H103">
    <cfRule type="cellIs" dxfId="4569" priority="367" operator="equal">
      <formula>0</formula>
    </cfRule>
  </conditionalFormatting>
  <conditionalFormatting sqref="H103">
    <cfRule type="cellIs" dxfId="4568" priority="368" operator="equal">
      <formula>0</formula>
    </cfRule>
  </conditionalFormatting>
  <conditionalFormatting sqref="H103">
    <cfRule type="cellIs" dxfId="4567" priority="369" operator="equal">
      <formula>0</formula>
    </cfRule>
  </conditionalFormatting>
  <conditionalFormatting sqref="H103">
    <cfRule type="cellIs" dxfId="4566" priority="370" operator="equal">
      <formula>0</formula>
    </cfRule>
  </conditionalFormatting>
  <conditionalFormatting sqref="H103">
    <cfRule type="cellIs" dxfId="4565" priority="371" operator="equal">
      <formula>0</formula>
    </cfRule>
  </conditionalFormatting>
  <conditionalFormatting sqref="H103">
    <cfRule type="cellIs" dxfId="4564" priority="372" operator="equal">
      <formula>0</formula>
    </cfRule>
  </conditionalFormatting>
  <conditionalFormatting sqref="H103">
    <cfRule type="cellIs" dxfId="4563" priority="373" operator="equal">
      <formula>0</formula>
    </cfRule>
  </conditionalFormatting>
  <conditionalFormatting sqref="H103">
    <cfRule type="cellIs" dxfId="4562" priority="374" operator="equal">
      <formula>0</formula>
    </cfRule>
  </conditionalFormatting>
  <conditionalFormatting sqref="H103">
    <cfRule type="cellIs" dxfId="4561" priority="375" operator="equal">
      <formula>0</formula>
    </cfRule>
  </conditionalFormatting>
  <conditionalFormatting sqref="H103">
    <cfRule type="cellIs" dxfId="4560" priority="376" operator="equal">
      <formula>0</formula>
    </cfRule>
  </conditionalFormatting>
  <conditionalFormatting sqref="H103">
    <cfRule type="cellIs" dxfId="4559" priority="377" operator="equal">
      <formula>0</formula>
    </cfRule>
  </conditionalFormatting>
  <conditionalFormatting sqref="H103">
    <cfRule type="cellIs" dxfId="4558" priority="378" operator="equal">
      <formula>0</formula>
    </cfRule>
  </conditionalFormatting>
  <conditionalFormatting sqref="H103">
    <cfRule type="cellIs" dxfId="4557" priority="379" operator="equal">
      <formula>0</formula>
    </cfRule>
  </conditionalFormatting>
  <conditionalFormatting sqref="H103">
    <cfRule type="cellIs" dxfId="4556" priority="380" operator="equal">
      <formula>0</formula>
    </cfRule>
  </conditionalFormatting>
  <conditionalFormatting sqref="H103">
    <cfRule type="cellIs" dxfId="4555" priority="381" operator="equal">
      <formula>0</formula>
    </cfRule>
  </conditionalFormatting>
  <conditionalFormatting sqref="H103">
    <cfRule type="cellIs" dxfId="4554" priority="382" operator="equal">
      <formula>0</formula>
    </cfRule>
  </conditionalFormatting>
  <conditionalFormatting sqref="H103">
    <cfRule type="cellIs" dxfId="4553" priority="383" operator="equal">
      <formula>0</formula>
    </cfRule>
  </conditionalFormatting>
  <conditionalFormatting sqref="H103">
    <cfRule type="cellIs" dxfId="4552" priority="384" operator="equal">
      <formula>0</formula>
    </cfRule>
  </conditionalFormatting>
  <conditionalFormatting sqref="H103">
    <cfRule type="cellIs" dxfId="4551" priority="385" operator="equal">
      <formula>0</formula>
    </cfRule>
  </conditionalFormatting>
  <conditionalFormatting sqref="H103">
    <cfRule type="cellIs" dxfId="4550" priority="386" operator="equal">
      <formula>0</formula>
    </cfRule>
  </conditionalFormatting>
  <conditionalFormatting sqref="H103">
    <cfRule type="cellIs" dxfId="4549" priority="387" operator="equal">
      <formula>0</formula>
    </cfRule>
  </conditionalFormatting>
  <conditionalFormatting sqref="H103">
    <cfRule type="cellIs" dxfId="4548" priority="388" operator="equal">
      <formula>0</formula>
    </cfRule>
  </conditionalFormatting>
  <conditionalFormatting sqref="H103">
    <cfRule type="cellIs" dxfId="4547" priority="389" operator="equal">
      <formula>0</formula>
    </cfRule>
  </conditionalFormatting>
  <conditionalFormatting sqref="H147">
    <cfRule type="cellIs" dxfId="4546" priority="390" operator="equal">
      <formula>0</formula>
    </cfRule>
  </conditionalFormatting>
  <conditionalFormatting sqref="H147">
    <cfRule type="cellIs" dxfId="4545" priority="391" operator="equal">
      <formula>0</formula>
    </cfRule>
  </conditionalFormatting>
  <conditionalFormatting sqref="H147">
    <cfRule type="cellIs" dxfId="4544" priority="392" operator="equal">
      <formula>0</formula>
    </cfRule>
  </conditionalFormatting>
  <conditionalFormatting sqref="H147">
    <cfRule type="cellIs" dxfId="4543" priority="393" operator="equal">
      <formula>0</formula>
    </cfRule>
  </conditionalFormatting>
  <conditionalFormatting sqref="H147">
    <cfRule type="cellIs" dxfId="4542" priority="394" operator="equal">
      <formula>0</formula>
    </cfRule>
  </conditionalFormatting>
  <conditionalFormatting sqref="H147">
    <cfRule type="cellIs" dxfId="4541" priority="395" operator="equal">
      <formula>0</formula>
    </cfRule>
  </conditionalFormatting>
  <conditionalFormatting sqref="H147">
    <cfRule type="cellIs" dxfId="4540" priority="396" operator="equal">
      <formula>0</formula>
    </cfRule>
  </conditionalFormatting>
  <conditionalFormatting sqref="H147">
    <cfRule type="cellIs" dxfId="4539" priority="397" operator="equal">
      <formula>0</formula>
    </cfRule>
  </conditionalFormatting>
  <conditionalFormatting sqref="H147">
    <cfRule type="cellIs" dxfId="4538" priority="398" operator="equal">
      <formula>0</formula>
    </cfRule>
  </conditionalFormatting>
  <conditionalFormatting sqref="H147">
    <cfRule type="cellIs" dxfId="4537" priority="399" operator="equal">
      <formula>0</formula>
    </cfRule>
  </conditionalFormatting>
  <conditionalFormatting sqref="H147">
    <cfRule type="cellIs" dxfId="4536" priority="400" operator="equal">
      <formula>0</formula>
    </cfRule>
  </conditionalFormatting>
  <conditionalFormatting sqref="H147">
    <cfRule type="cellIs" dxfId="4535" priority="401" operator="equal">
      <formula>0</formula>
    </cfRule>
  </conditionalFormatting>
  <conditionalFormatting sqref="H147">
    <cfRule type="cellIs" dxfId="4534" priority="402" operator="equal">
      <formula>0</formula>
    </cfRule>
  </conditionalFormatting>
  <conditionalFormatting sqref="H147">
    <cfRule type="cellIs" dxfId="4533" priority="403" operator="equal">
      <formula>0</formula>
    </cfRule>
  </conditionalFormatting>
  <conditionalFormatting sqref="H147">
    <cfRule type="cellIs" dxfId="4532" priority="404" operator="equal">
      <formula>0</formula>
    </cfRule>
  </conditionalFormatting>
  <conditionalFormatting sqref="H147">
    <cfRule type="cellIs" dxfId="4531" priority="405" operator="equal">
      <formula>0</formula>
    </cfRule>
  </conditionalFormatting>
  <conditionalFormatting sqref="H147">
    <cfRule type="cellIs" dxfId="4530" priority="406" operator="equal">
      <formula>0</formula>
    </cfRule>
  </conditionalFormatting>
  <conditionalFormatting sqref="H147">
    <cfRule type="cellIs" dxfId="4529" priority="407" operator="equal">
      <formula>0</formula>
    </cfRule>
  </conditionalFormatting>
  <conditionalFormatting sqref="H147">
    <cfRule type="cellIs" dxfId="4528" priority="408" operator="equal">
      <formula>0</formula>
    </cfRule>
  </conditionalFormatting>
  <conditionalFormatting sqref="H147">
    <cfRule type="cellIs" dxfId="4527" priority="409" operator="equal">
      <formula>0</formula>
    </cfRule>
  </conditionalFormatting>
  <conditionalFormatting sqref="H147">
    <cfRule type="cellIs" dxfId="4526" priority="410" operator="equal">
      <formula>0</formula>
    </cfRule>
  </conditionalFormatting>
  <conditionalFormatting sqref="H147">
    <cfRule type="cellIs" dxfId="4525" priority="411" operator="equal">
      <formula>0</formula>
    </cfRule>
  </conditionalFormatting>
  <conditionalFormatting sqref="H147">
    <cfRule type="cellIs" dxfId="4524" priority="412" operator="equal">
      <formula>0</formula>
    </cfRule>
  </conditionalFormatting>
  <conditionalFormatting sqref="H147">
    <cfRule type="cellIs" dxfId="4523" priority="413" operator="equal">
      <formula>0</formula>
    </cfRule>
  </conditionalFormatting>
  <conditionalFormatting sqref="H147">
    <cfRule type="cellIs" dxfId="4522" priority="414" operator="equal">
      <formula>0</formula>
    </cfRule>
  </conditionalFormatting>
  <conditionalFormatting sqref="H147">
    <cfRule type="cellIs" dxfId="4521" priority="415" operator="equal">
      <formula>0</formula>
    </cfRule>
  </conditionalFormatting>
  <conditionalFormatting sqref="H147">
    <cfRule type="cellIs" dxfId="4520" priority="416" operator="equal">
      <formula>0</formula>
    </cfRule>
  </conditionalFormatting>
  <conditionalFormatting sqref="H147">
    <cfRule type="cellIs" dxfId="4519" priority="417" operator="equal">
      <formula>0</formula>
    </cfRule>
  </conditionalFormatting>
  <conditionalFormatting sqref="H147">
    <cfRule type="cellIs" dxfId="4518" priority="418" operator="equal">
      <formula>0</formula>
    </cfRule>
  </conditionalFormatting>
  <conditionalFormatting sqref="H147">
    <cfRule type="cellIs" dxfId="4517" priority="419" operator="equal">
      <formula>0</formula>
    </cfRule>
  </conditionalFormatting>
  <conditionalFormatting sqref="H147">
    <cfRule type="cellIs" dxfId="4516" priority="420" operator="equal">
      <formula>0</formula>
    </cfRule>
  </conditionalFormatting>
  <conditionalFormatting sqref="H147">
    <cfRule type="cellIs" dxfId="4515" priority="421" operator="equal">
      <formula>0</formula>
    </cfRule>
  </conditionalFormatting>
  <conditionalFormatting sqref="H147">
    <cfRule type="cellIs" dxfId="4514" priority="422" operator="equal">
      <formula>0</formula>
    </cfRule>
  </conditionalFormatting>
  <conditionalFormatting sqref="H147">
    <cfRule type="cellIs" dxfId="4513" priority="423" operator="equal">
      <formula>0</formula>
    </cfRule>
  </conditionalFormatting>
  <conditionalFormatting sqref="H147">
    <cfRule type="cellIs" dxfId="4512" priority="424" operator="equal">
      <formula>0</formula>
    </cfRule>
  </conditionalFormatting>
  <conditionalFormatting sqref="H147">
    <cfRule type="cellIs" dxfId="4511" priority="425" operator="equal">
      <formula>0</formula>
    </cfRule>
  </conditionalFormatting>
  <conditionalFormatting sqref="H147">
    <cfRule type="cellIs" dxfId="4510" priority="426" operator="equal">
      <formula>0</formula>
    </cfRule>
  </conditionalFormatting>
  <conditionalFormatting sqref="H147">
    <cfRule type="cellIs" dxfId="4509" priority="427" operator="equal">
      <formula>0</formula>
    </cfRule>
  </conditionalFormatting>
  <conditionalFormatting sqref="H147">
    <cfRule type="cellIs" dxfId="4508" priority="428" operator="equal">
      <formula>0</formula>
    </cfRule>
  </conditionalFormatting>
  <conditionalFormatting sqref="H147">
    <cfRule type="cellIs" dxfId="4507" priority="429" operator="equal">
      <formula>0</formula>
    </cfRule>
  </conditionalFormatting>
  <conditionalFormatting sqref="H147">
    <cfRule type="cellIs" dxfId="4506" priority="430" operator="equal">
      <formula>0</formula>
    </cfRule>
  </conditionalFormatting>
  <conditionalFormatting sqref="H147">
    <cfRule type="cellIs" dxfId="4505" priority="431" operator="equal">
      <formula>0</formula>
    </cfRule>
  </conditionalFormatting>
  <conditionalFormatting sqref="H147">
    <cfRule type="cellIs" dxfId="4504" priority="432" operator="equal">
      <formula>0</formula>
    </cfRule>
  </conditionalFormatting>
  <conditionalFormatting sqref="H147">
    <cfRule type="cellIs" dxfId="4503" priority="433" operator="equal">
      <formula>0</formula>
    </cfRule>
  </conditionalFormatting>
  <conditionalFormatting sqref="H147">
    <cfRule type="cellIs" dxfId="4502" priority="434" operator="equal">
      <formula>0</formula>
    </cfRule>
  </conditionalFormatting>
  <conditionalFormatting sqref="H191">
    <cfRule type="cellIs" dxfId="4501" priority="435" operator="equal">
      <formula>0</formula>
    </cfRule>
  </conditionalFormatting>
  <conditionalFormatting sqref="H191">
    <cfRule type="cellIs" dxfId="4500" priority="436" operator="equal">
      <formula>0</formula>
    </cfRule>
  </conditionalFormatting>
  <conditionalFormatting sqref="H191">
    <cfRule type="cellIs" dxfId="4499" priority="437" operator="equal">
      <formula>0</formula>
    </cfRule>
  </conditionalFormatting>
  <conditionalFormatting sqref="H191">
    <cfRule type="cellIs" dxfId="4498" priority="438" operator="equal">
      <formula>0</formula>
    </cfRule>
  </conditionalFormatting>
  <conditionalFormatting sqref="H191">
    <cfRule type="cellIs" dxfId="4497" priority="439" operator="equal">
      <formula>0</formula>
    </cfRule>
  </conditionalFormatting>
  <conditionalFormatting sqref="H191">
    <cfRule type="cellIs" dxfId="4496" priority="440" operator="equal">
      <formula>0</formula>
    </cfRule>
  </conditionalFormatting>
  <conditionalFormatting sqref="H191">
    <cfRule type="cellIs" dxfId="4495" priority="441" operator="equal">
      <formula>0</formula>
    </cfRule>
  </conditionalFormatting>
  <conditionalFormatting sqref="H191">
    <cfRule type="cellIs" dxfId="4494" priority="442" operator="equal">
      <formula>0</formula>
    </cfRule>
  </conditionalFormatting>
  <conditionalFormatting sqref="H191">
    <cfRule type="cellIs" dxfId="4493" priority="443" operator="equal">
      <formula>0</formula>
    </cfRule>
  </conditionalFormatting>
  <conditionalFormatting sqref="H191">
    <cfRule type="cellIs" dxfId="4492" priority="444" operator="equal">
      <formula>0</formula>
    </cfRule>
  </conditionalFormatting>
  <conditionalFormatting sqref="H191">
    <cfRule type="cellIs" dxfId="4491" priority="445" operator="equal">
      <formula>0</formula>
    </cfRule>
  </conditionalFormatting>
  <conditionalFormatting sqref="H191">
    <cfRule type="cellIs" dxfId="4490" priority="446" operator="equal">
      <formula>0</formula>
    </cfRule>
  </conditionalFormatting>
  <conditionalFormatting sqref="H191">
    <cfRule type="cellIs" dxfId="4489" priority="447" operator="equal">
      <formula>0</formula>
    </cfRule>
  </conditionalFormatting>
  <conditionalFormatting sqref="H191">
    <cfRule type="cellIs" dxfId="4488" priority="448" operator="equal">
      <formula>0</formula>
    </cfRule>
  </conditionalFormatting>
  <conditionalFormatting sqref="H191">
    <cfRule type="cellIs" dxfId="4487" priority="449" operator="equal">
      <formula>0</formula>
    </cfRule>
  </conditionalFormatting>
  <conditionalFormatting sqref="H191">
    <cfRule type="cellIs" dxfId="4486" priority="450" operator="equal">
      <formula>0</formula>
    </cfRule>
  </conditionalFormatting>
  <conditionalFormatting sqref="H191">
    <cfRule type="cellIs" dxfId="4485" priority="451" operator="equal">
      <formula>0</formula>
    </cfRule>
  </conditionalFormatting>
  <conditionalFormatting sqref="H191">
    <cfRule type="cellIs" dxfId="4484" priority="452" operator="equal">
      <formula>0</formula>
    </cfRule>
  </conditionalFormatting>
  <conditionalFormatting sqref="H191">
    <cfRule type="cellIs" dxfId="4483" priority="453" operator="equal">
      <formula>0</formula>
    </cfRule>
  </conditionalFormatting>
  <conditionalFormatting sqref="H191">
    <cfRule type="cellIs" dxfId="4482" priority="454" operator="equal">
      <formula>0</formula>
    </cfRule>
  </conditionalFormatting>
  <conditionalFormatting sqref="H191">
    <cfRule type="cellIs" dxfId="4481" priority="455" operator="equal">
      <formula>0</formula>
    </cfRule>
  </conditionalFormatting>
  <conditionalFormatting sqref="H191">
    <cfRule type="cellIs" dxfId="4480" priority="456" operator="equal">
      <formula>0</formula>
    </cfRule>
  </conditionalFormatting>
  <conditionalFormatting sqref="H191">
    <cfRule type="cellIs" dxfId="4479" priority="457" operator="equal">
      <formula>0</formula>
    </cfRule>
  </conditionalFormatting>
  <conditionalFormatting sqref="H191">
    <cfRule type="cellIs" dxfId="4478" priority="458" operator="equal">
      <formula>0</formula>
    </cfRule>
  </conditionalFormatting>
  <conditionalFormatting sqref="H191">
    <cfRule type="cellIs" dxfId="4477" priority="459" operator="equal">
      <formula>0</formula>
    </cfRule>
  </conditionalFormatting>
  <conditionalFormatting sqref="H191">
    <cfRule type="cellIs" dxfId="4476" priority="460" operator="equal">
      <formula>0</formula>
    </cfRule>
  </conditionalFormatting>
  <conditionalFormatting sqref="H191">
    <cfRule type="cellIs" dxfId="4475" priority="461" operator="equal">
      <formula>0</formula>
    </cfRule>
  </conditionalFormatting>
  <conditionalFormatting sqref="H191">
    <cfRule type="cellIs" dxfId="4474" priority="462" operator="equal">
      <formula>0</formula>
    </cfRule>
  </conditionalFormatting>
  <conditionalFormatting sqref="H191">
    <cfRule type="cellIs" dxfId="4473" priority="463" operator="equal">
      <formula>0</formula>
    </cfRule>
  </conditionalFormatting>
  <conditionalFormatting sqref="H191">
    <cfRule type="cellIs" dxfId="4472" priority="464" operator="equal">
      <formula>0</formula>
    </cfRule>
  </conditionalFormatting>
  <conditionalFormatting sqref="H191">
    <cfRule type="cellIs" dxfId="4471" priority="465" operator="equal">
      <formula>0</formula>
    </cfRule>
  </conditionalFormatting>
  <conditionalFormatting sqref="H191">
    <cfRule type="cellIs" dxfId="4470" priority="466" operator="equal">
      <formula>0</formula>
    </cfRule>
  </conditionalFormatting>
  <conditionalFormatting sqref="H191">
    <cfRule type="cellIs" dxfId="4469" priority="467" operator="equal">
      <formula>0</formula>
    </cfRule>
  </conditionalFormatting>
  <conditionalFormatting sqref="H191">
    <cfRule type="cellIs" dxfId="4468" priority="468" operator="equal">
      <formula>0</formula>
    </cfRule>
  </conditionalFormatting>
  <conditionalFormatting sqref="H191">
    <cfRule type="cellIs" dxfId="4467" priority="469" operator="equal">
      <formula>0</formula>
    </cfRule>
  </conditionalFormatting>
  <conditionalFormatting sqref="H191">
    <cfRule type="cellIs" dxfId="4466" priority="470" operator="equal">
      <formula>0</formula>
    </cfRule>
  </conditionalFormatting>
  <conditionalFormatting sqref="H191">
    <cfRule type="cellIs" dxfId="4465" priority="471" operator="equal">
      <formula>0</formula>
    </cfRule>
  </conditionalFormatting>
  <conditionalFormatting sqref="H191">
    <cfRule type="cellIs" dxfId="4464" priority="472" operator="equal">
      <formula>0</formula>
    </cfRule>
  </conditionalFormatting>
  <conditionalFormatting sqref="H191">
    <cfRule type="cellIs" dxfId="4463" priority="473" operator="equal">
      <formula>0</formula>
    </cfRule>
  </conditionalFormatting>
  <conditionalFormatting sqref="H191">
    <cfRule type="cellIs" dxfId="4462" priority="474" operator="equal">
      <formula>0</formula>
    </cfRule>
  </conditionalFormatting>
  <conditionalFormatting sqref="H191">
    <cfRule type="cellIs" dxfId="4461" priority="475" operator="equal">
      <formula>0</formula>
    </cfRule>
  </conditionalFormatting>
  <conditionalFormatting sqref="H191">
    <cfRule type="cellIs" dxfId="4460" priority="476" operator="equal">
      <formula>0</formula>
    </cfRule>
  </conditionalFormatting>
  <conditionalFormatting sqref="H191">
    <cfRule type="cellIs" dxfId="4459" priority="477" operator="equal">
      <formula>0</formula>
    </cfRule>
  </conditionalFormatting>
  <conditionalFormatting sqref="H191">
    <cfRule type="cellIs" dxfId="4458" priority="478" operator="equal">
      <formula>0</formula>
    </cfRule>
  </conditionalFormatting>
  <conditionalFormatting sqref="H191">
    <cfRule type="cellIs" dxfId="4457" priority="479" operator="equal">
      <formula>0</formula>
    </cfRule>
  </conditionalFormatting>
  <conditionalFormatting sqref="H235">
    <cfRule type="cellIs" dxfId="4456" priority="480" operator="equal">
      <formula>0</formula>
    </cfRule>
  </conditionalFormatting>
  <conditionalFormatting sqref="H235">
    <cfRule type="cellIs" dxfId="4455" priority="481" operator="equal">
      <formula>0</formula>
    </cfRule>
  </conditionalFormatting>
  <conditionalFormatting sqref="H235">
    <cfRule type="cellIs" dxfId="4454" priority="482" operator="equal">
      <formula>0</formula>
    </cfRule>
  </conditionalFormatting>
  <conditionalFormatting sqref="H235">
    <cfRule type="cellIs" dxfId="4453" priority="483" operator="equal">
      <formula>0</formula>
    </cfRule>
  </conditionalFormatting>
  <conditionalFormatting sqref="H235">
    <cfRule type="cellIs" dxfId="4452" priority="484" operator="equal">
      <formula>0</formula>
    </cfRule>
  </conditionalFormatting>
  <conditionalFormatting sqref="H235">
    <cfRule type="cellIs" dxfId="4451" priority="485" operator="equal">
      <formula>0</formula>
    </cfRule>
  </conditionalFormatting>
  <conditionalFormatting sqref="H235">
    <cfRule type="cellIs" dxfId="4450" priority="486" operator="equal">
      <formula>0</formula>
    </cfRule>
  </conditionalFormatting>
  <conditionalFormatting sqref="H235">
    <cfRule type="cellIs" dxfId="4449" priority="487" operator="equal">
      <formula>0</formula>
    </cfRule>
  </conditionalFormatting>
  <conditionalFormatting sqref="H235">
    <cfRule type="cellIs" dxfId="4448" priority="488" operator="equal">
      <formula>0</formula>
    </cfRule>
  </conditionalFormatting>
  <conditionalFormatting sqref="H235">
    <cfRule type="cellIs" dxfId="4447" priority="489" operator="equal">
      <formula>0</formula>
    </cfRule>
  </conditionalFormatting>
  <conditionalFormatting sqref="H235">
    <cfRule type="cellIs" dxfId="4446" priority="490" operator="equal">
      <formula>0</formula>
    </cfRule>
  </conditionalFormatting>
  <conditionalFormatting sqref="H235">
    <cfRule type="cellIs" dxfId="4445" priority="491" operator="equal">
      <formula>0</formula>
    </cfRule>
  </conditionalFormatting>
  <conditionalFormatting sqref="H235">
    <cfRule type="cellIs" dxfId="4444" priority="492" operator="equal">
      <formula>0</formula>
    </cfRule>
  </conditionalFormatting>
  <conditionalFormatting sqref="H235">
    <cfRule type="cellIs" dxfId="4443" priority="493" operator="equal">
      <formula>0</formula>
    </cfRule>
  </conditionalFormatting>
  <conditionalFormatting sqref="H235">
    <cfRule type="cellIs" dxfId="4442" priority="494" operator="equal">
      <formula>0</formula>
    </cfRule>
  </conditionalFormatting>
  <conditionalFormatting sqref="H235">
    <cfRule type="cellIs" dxfId="4441" priority="495" operator="equal">
      <formula>0</formula>
    </cfRule>
  </conditionalFormatting>
  <conditionalFormatting sqref="H235">
    <cfRule type="cellIs" dxfId="4440" priority="496" operator="equal">
      <formula>0</formula>
    </cfRule>
  </conditionalFormatting>
  <conditionalFormatting sqref="H235">
    <cfRule type="cellIs" dxfId="4439" priority="497" operator="equal">
      <formula>0</formula>
    </cfRule>
  </conditionalFormatting>
  <conditionalFormatting sqref="H235">
    <cfRule type="cellIs" dxfId="4438" priority="498" operator="equal">
      <formula>0</formula>
    </cfRule>
  </conditionalFormatting>
  <conditionalFormatting sqref="H235">
    <cfRule type="cellIs" dxfId="4437" priority="499" operator="equal">
      <formula>0</formula>
    </cfRule>
  </conditionalFormatting>
  <conditionalFormatting sqref="H235">
    <cfRule type="cellIs" dxfId="4436" priority="500" operator="equal">
      <formula>0</formula>
    </cfRule>
  </conditionalFormatting>
  <conditionalFormatting sqref="H235">
    <cfRule type="cellIs" dxfId="4435" priority="501" operator="equal">
      <formula>0</formula>
    </cfRule>
  </conditionalFormatting>
  <conditionalFormatting sqref="H235">
    <cfRule type="cellIs" dxfId="4434" priority="502" operator="equal">
      <formula>0</formula>
    </cfRule>
  </conditionalFormatting>
  <conditionalFormatting sqref="H235">
    <cfRule type="cellIs" dxfId="4433" priority="503" operator="equal">
      <formula>0</formula>
    </cfRule>
  </conditionalFormatting>
  <conditionalFormatting sqref="H235">
    <cfRule type="cellIs" dxfId="4432" priority="504" operator="equal">
      <formula>0</formula>
    </cfRule>
  </conditionalFormatting>
  <conditionalFormatting sqref="H235">
    <cfRule type="cellIs" dxfId="4431" priority="505" operator="equal">
      <formula>0</formula>
    </cfRule>
  </conditionalFormatting>
  <conditionalFormatting sqref="H235">
    <cfRule type="cellIs" dxfId="4430" priority="506" operator="equal">
      <formula>0</formula>
    </cfRule>
  </conditionalFormatting>
  <conditionalFormatting sqref="H235">
    <cfRule type="cellIs" dxfId="4429" priority="507" operator="equal">
      <formula>0</formula>
    </cfRule>
  </conditionalFormatting>
  <conditionalFormatting sqref="H235">
    <cfRule type="cellIs" dxfId="4428" priority="508" operator="equal">
      <formula>0</formula>
    </cfRule>
  </conditionalFormatting>
  <conditionalFormatting sqref="H235">
    <cfRule type="cellIs" dxfId="4427" priority="509" operator="equal">
      <formula>0</formula>
    </cfRule>
  </conditionalFormatting>
  <conditionalFormatting sqref="H235">
    <cfRule type="cellIs" dxfId="4426" priority="510" operator="equal">
      <formula>0</formula>
    </cfRule>
  </conditionalFormatting>
  <conditionalFormatting sqref="H235">
    <cfRule type="cellIs" dxfId="4425" priority="511" operator="equal">
      <formula>0</formula>
    </cfRule>
  </conditionalFormatting>
  <conditionalFormatting sqref="H235">
    <cfRule type="cellIs" dxfId="4424" priority="512" operator="equal">
      <formula>0</formula>
    </cfRule>
  </conditionalFormatting>
  <conditionalFormatting sqref="H235">
    <cfRule type="cellIs" dxfId="4423" priority="513" operator="equal">
      <formula>0</formula>
    </cfRule>
  </conditionalFormatting>
  <conditionalFormatting sqref="H235">
    <cfRule type="cellIs" dxfId="4422" priority="514" operator="equal">
      <formula>0</formula>
    </cfRule>
  </conditionalFormatting>
  <conditionalFormatting sqref="H235">
    <cfRule type="cellIs" dxfId="4421" priority="515" operator="equal">
      <formula>0</formula>
    </cfRule>
  </conditionalFormatting>
  <conditionalFormatting sqref="H235">
    <cfRule type="cellIs" dxfId="4420" priority="516" operator="equal">
      <formula>0</formula>
    </cfRule>
  </conditionalFormatting>
  <conditionalFormatting sqref="H235">
    <cfRule type="cellIs" dxfId="4419" priority="517" operator="equal">
      <formula>0</formula>
    </cfRule>
  </conditionalFormatting>
  <conditionalFormatting sqref="H235">
    <cfRule type="cellIs" dxfId="4418" priority="518" operator="equal">
      <formula>0</formula>
    </cfRule>
  </conditionalFormatting>
  <conditionalFormatting sqref="H235">
    <cfRule type="cellIs" dxfId="4417" priority="519" operator="equal">
      <formula>0</formula>
    </cfRule>
  </conditionalFormatting>
  <conditionalFormatting sqref="H235">
    <cfRule type="cellIs" dxfId="4416" priority="520" operator="equal">
      <formula>0</formula>
    </cfRule>
  </conditionalFormatting>
  <conditionalFormatting sqref="H235">
    <cfRule type="cellIs" dxfId="4415" priority="521" operator="equal">
      <formula>0</formula>
    </cfRule>
  </conditionalFormatting>
  <conditionalFormatting sqref="H235">
    <cfRule type="cellIs" dxfId="4414" priority="522" operator="equal">
      <formula>0</formula>
    </cfRule>
  </conditionalFormatting>
  <conditionalFormatting sqref="H235">
    <cfRule type="cellIs" dxfId="4413" priority="523" operator="equal">
      <formula>0</formula>
    </cfRule>
  </conditionalFormatting>
  <conditionalFormatting sqref="H235">
    <cfRule type="cellIs" dxfId="4412" priority="524" operator="equal">
      <formula>0</formula>
    </cfRule>
  </conditionalFormatting>
  <conditionalFormatting sqref="H191">
    <cfRule type="cellIs" dxfId="4411" priority="525" operator="equal">
      <formula>0</formula>
    </cfRule>
  </conditionalFormatting>
  <conditionalFormatting sqref="H191">
    <cfRule type="cellIs" dxfId="4410" priority="526" operator="equal">
      <formula>0</formula>
    </cfRule>
  </conditionalFormatting>
  <conditionalFormatting sqref="H191">
    <cfRule type="cellIs" dxfId="4409" priority="527" operator="equal">
      <formula>0</formula>
    </cfRule>
  </conditionalFormatting>
  <conditionalFormatting sqref="H191">
    <cfRule type="cellIs" dxfId="4408" priority="528" operator="equal">
      <formula>0</formula>
    </cfRule>
  </conditionalFormatting>
  <conditionalFormatting sqref="H191">
    <cfRule type="cellIs" dxfId="4407" priority="529" operator="equal">
      <formula>0</formula>
    </cfRule>
  </conditionalFormatting>
  <conditionalFormatting sqref="H191">
    <cfRule type="cellIs" dxfId="4406" priority="530" operator="equal">
      <formula>0</formula>
    </cfRule>
  </conditionalFormatting>
  <conditionalFormatting sqref="H191">
    <cfRule type="cellIs" dxfId="4405" priority="531" operator="equal">
      <formula>0</formula>
    </cfRule>
  </conditionalFormatting>
  <conditionalFormatting sqref="H191">
    <cfRule type="cellIs" dxfId="4404" priority="532" operator="equal">
      <formula>0</formula>
    </cfRule>
  </conditionalFormatting>
  <conditionalFormatting sqref="H191">
    <cfRule type="cellIs" dxfId="4403" priority="533" operator="equal">
      <formula>0</formula>
    </cfRule>
  </conditionalFormatting>
  <conditionalFormatting sqref="H191">
    <cfRule type="cellIs" dxfId="4402" priority="534" operator="equal">
      <formula>0</formula>
    </cfRule>
  </conditionalFormatting>
  <conditionalFormatting sqref="H191">
    <cfRule type="cellIs" dxfId="4401" priority="535" operator="equal">
      <formula>0</formula>
    </cfRule>
  </conditionalFormatting>
  <conditionalFormatting sqref="H191">
    <cfRule type="cellIs" dxfId="4400" priority="536" operator="equal">
      <formula>0</formula>
    </cfRule>
  </conditionalFormatting>
  <conditionalFormatting sqref="H191">
    <cfRule type="cellIs" dxfId="4399" priority="537" operator="equal">
      <formula>0</formula>
    </cfRule>
  </conditionalFormatting>
  <conditionalFormatting sqref="H191">
    <cfRule type="cellIs" dxfId="4398" priority="538" operator="equal">
      <formula>0</formula>
    </cfRule>
  </conditionalFormatting>
  <conditionalFormatting sqref="H191">
    <cfRule type="cellIs" dxfId="4397" priority="539" operator="equal">
      <formula>0</formula>
    </cfRule>
  </conditionalFormatting>
  <conditionalFormatting sqref="H191">
    <cfRule type="cellIs" dxfId="4396" priority="540" operator="equal">
      <formula>0</formula>
    </cfRule>
  </conditionalFormatting>
  <conditionalFormatting sqref="H191">
    <cfRule type="cellIs" dxfId="4395" priority="541" operator="equal">
      <formula>0</formula>
    </cfRule>
  </conditionalFormatting>
  <conditionalFormatting sqref="H191">
    <cfRule type="cellIs" dxfId="4394" priority="542" operator="equal">
      <formula>0</formula>
    </cfRule>
  </conditionalFormatting>
  <conditionalFormatting sqref="H191">
    <cfRule type="cellIs" dxfId="4393" priority="543" operator="equal">
      <formula>0</formula>
    </cfRule>
  </conditionalFormatting>
  <conditionalFormatting sqref="H191">
    <cfRule type="cellIs" dxfId="4392" priority="544" operator="equal">
      <formula>0</formula>
    </cfRule>
  </conditionalFormatting>
  <conditionalFormatting sqref="H191">
    <cfRule type="cellIs" dxfId="4391" priority="545" operator="equal">
      <formula>0</formula>
    </cfRule>
  </conditionalFormatting>
  <conditionalFormatting sqref="H191">
    <cfRule type="cellIs" dxfId="4390" priority="546" operator="equal">
      <formula>0</formula>
    </cfRule>
  </conditionalFormatting>
  <conditionalFormatting sqref="H191">
    <cfRule type="cellIs" dxfId="4389" priority="547" operator="equal">
      <formula>0</formula>
    </cfRule>
  </conditionalFormatting>
  <conditionalFormatting sqref="H191">
    <cfRule type="cellIs" dxfId="4388" priority="548" operator="equal">
      <formula>0</formula>
    </cfRule>
  </conditionalFormatting>
  <conditionalFormatting sqref="H191">
    <cfRule type="cellIs" dxfId="4387" priority="549" operator="equal">
      <formula>0</formula>
    </cfRule>
  </conditionalFormatting>
  <conditionalFormatting sqref="H191">
    <cfRule type="cellIs" dxfId="4386" priority="550" operator="equal">
      <formula>0</formula>
    </cfRule>
  </conditionalFormatting>
  <conditionalFormatting sqref="H191">
    <cfRule type="cellIs" dxfId="4385" priority="551" operator="equal">
      <formula>0</formula>
    </cfRule>
  </conditionalFormatting>
  <conditionalFormatting sqref="H191">
    <cfRule type="cellIs" dxfId="4384" priority="552" operator="equal">
      <formula>0</formula>
    </cfRule>
  </conditionalFormatting>
  <conditionalFormatting sqref="H191">
    <cfRule type="cellIs" dxfId="4383" priority="553" operator="equal">
      <formula>0</formula>
    </cfRule>
  </conditionalFormatting>
  <conditionalFormatting sqref="H191">
    <cfRule type="cellIs" dxfId="4382" priority="554" operator="equal">
      <formula>0</formula>
    </cfRule>
  </conditionalFormatting>
  <conditionalFormatting sqref="H191">
    <cfRule type="cellIs" dxfId="4381" priority="555" operator="equal">
      <formula>0</formula>
    </cfRule>
  </conditionalFormatting>
  <conditionalFormatting sqref="H191">
    <cfRule type="cellIs" dxfId="4380" priority="556" operator="equal">
      <formula>0</formula>
    </cfRule>
  </conditionalFormatting>
  <conditionalFormatting sqref="H191">
    <cfRule type="cellIs" dxfId="4379" priority="557" operator="equal">
      <formula>0</formula>
    </cfRule>
  </conditionalFormatting>
  <conditionalFormatting sqref="H191">
    <cfRule type="cellIs" dxfId="4378" priority="558" operator="equal">
      <formula>0</formula>
    </cfRule>
  </conditionalFormatting>
  <conditionalFormatting sqref="H191">
    <cfRule type="cellIs" dxfId="4377" priority="559" operator="equal">
      <formula>0</formula>
    </cfRule>
  </conditionalFormatting>
  <conditionalFormatting sqref="H191">
    <cfRule type="cellIs" dxfId="4376" priority="560" operator="equal">
      <formula>0</formula>
    </cfRule>
  </conditionalFormatting>
  <conditionalFormatting sqref="H191">
    <cfRule type="cellIs" dxfId="4375" priority="561" operator="equal">
      <formula>0</formula>
    </cfRule>
  </conditionalFormatting>
  <conditionalFormatting sqref="H191">
    <cfRule type="cellIs" dxfId="4374" priority="562" operator="equal">
      <formula>0</formula>
    </cfRule>
  </conditionalFormatting>
  <conditionalFormatting sqref="H191">
    <cfRule type="cellIs" dxfId="4373" priority="563" operator="equal">
      <formula>0</formula>
    </cfRule>
  </conditionalFormatting>
  <conditionalFormatting sqref="H191">
    <cfRule type="cellIs" dxfId="4372" priority="564" operator="equal">
      <formula>0</formula>
    </cfRule>
  </conditionalFormatting>
  <conditionalFormatting sqref="H191">
    <cfRule type="cellIs" dxfId="4371" priority="565" operator="equal">
      <formula>0</formula>
    </cfRule>
  </conditionalFormatting>
  <conditionalFormatting sqref="H191">
    <cfRule type="cellIs" dxfId="4370" priority="566" operator="equal">
      <formula>0</formula>
    </cfRule>
  </conditionalFormatting>
  <conditionalFormatting sqref="H191">
    <cfRule type="cellIs" dxfId="4369" priority="567" operator="equal">
      <formula>0</formula>
    </cfRule>
  </conditionalFormatting>
  <conditionalFormatting sqref="H191">
    <cfRule type="cellIs" dxfId="4368" priority="568" operator="equal">
      <formula>0</formula>
    </cfRule>
  </conditionalFormatting>
  <conditionalFormatting sqref="H191">
    <cfRule type="cellIs" dxfId="4367" priority="569" operator="equal">
      <formula>0</formula>
    </cfRule>
  </conditionalFormatting>
  <conditionalFormatting sqref="H191">
    <cfRule type="cellIs" dxfId="4366" priority="570" operator="equal">
      <formula>0</formula>
    </cfRule>
  </conditionalFormatting>
  <conditionalFormatting sqref="H191">
    <cfRule type="cellIs" dxfId="4365" priority="571" operator="equal">
      <formula>0</formula>
    </cfRule>
  </conditionalFormatting>
  <conditionalFormatting sqref="H191">
    <cfRule type="cellIs" dxfId="4364" priority="572" operator="equal">
      <formula>0</formula>
    </cfRule>
  </conditionalFormatting>
  <conditionalFormatting sqref="H191">
    <cfRule type="cellIs" dxfId="4363" priority="573" operator="equal">
      <formula>0</formula>
    </cfRule>
  </conditionalFormatting>
  <conditionalFormatting sqref="H191">
    <cfRule type="cellIs" dxfId="4362" priority="574" operator="equal">
      <formula>0</formula>
    </cfRule>
  </conditionalFormatting>
  <conditionalFormatting sqref="H191">
    <cfRule type="cellIs" dxfId="4361" priority="575" operator="equal">
      <formula>0</formula>
    </cfRule>
  </conditionalFormatting>
  <conditionalFormatting sqref="H191">
    <cfRule type="cellIs" dxfId="4360" priority="576" operator="equal">
      <formula>0</formula>
    </cfRule>
  </conditionalFormatting>
  <conditionalFormatting sqref="H191">
    <cfRule type="cellIs" dxfId="4359" priority="577" operator="equal">
      <formula>0</formula>
    </cfRule>
  </conditionalFormatting>
  <conditionalFormatting sqref="H191">
    <cfRule type="cellIs" dxfId="4358" priority="578" operator="equal">
      <formula>0</formula>
    </cfRule>
  </conditionalFormatting>
  <conditionalFormatting sqref="H191">
    <cfRule type="cellIs" dxfId="4357" priority="579" operator="equal">
      <formula>0</formula>
    </cfRule>
  </conditionalFormatting>
  <conditionalFormatting sqref="H191">
    <cfRule type="cellIs" dxfId="4356" priority="580" operator="equal">
      <formula>0</formula>
    </cfRule>
  </conditionalFormatting>
  <conditionalFormatting sqref="H191">
    <cfRule type="cellIs" dxfId="4355" priority="581" operator="equal">
      <formula>0</formula>
    </cfRule>
  </conditionalFormatting>
  <conditionalFormatting sqref="H191">
    <cfRule type="cellIs" dxfId="4354" priority="582" operator="equal">
      <formula>0</formula>
    </cfRule>
  </conditionalFormatting>
  <conditionalFormatting sqref="H191">
    <cfRule type="cellIs" dxfId="4353" priority="583" operator="equal">
      <formula>0</formula>
    </cfRule>
  </conditionalFormatting>
  <conditionalFormatting sqref="H191">
    <cfRule type="cellIs" dxfId="4352" priority="584" operator="equal">
      <formula>0</formula>
    </cfRule>
  </conditionalFormatting>
  <conditionalFormatting sqref="H191">
    <cfRule type="cellIs" dxfId="4351" priority="585" operator="equal">
      <formula>0</formula>
    </cfRule>
  </conditionalFormatting>
  <conditionalFormatting sqref="H191">
    <cfRule type="cellIs" dxfId="4350" priority="586" operator="equal">
      <formula>0</formula>
    </cfRule>
  </conditionalFormatting>
  <conditionalFormatting sqref="H191">
    <cfRule type="cellIs" dxfId="4349" priority="587" operator="equal">
      <formula>0</formula>
    </cfRule>
  </conditionalFormatting>
  <conditionalFormatting sqref="H191">
    <cfRule type="cellIs" dxfId="4348" priority="588" operator="equal">
      <formula>0</formula>
    </cfRule>
  </conditionalFormatting>
  <conditionalFormatting sqref="H191">
    <cfRule type="cellIs" dxfId="4347" priority="589" operator="equal">
      <formula>0</formula>
    </cfRule>
  </conditionalFormatting>
  <conditionalFormatting sqref="H191">
    <cfRule type="cellIs" dxfId="4346" priority="590" operator="equal">
      <formula>0</formula>
    </cfRule>
  </conditionalFormatting>
  <conditionalFormatting sqref="H191">
    <cfRule type="cellIs" dxfId="4345" priority="591" operator="equal">
      <formula>0</formula>
    </cfRule>
  </conditionalFormatting>
  <conditionalFormatting sqref="H235">
    <cfRule type="cellIs" dxfId="4344" priority="592" operator="equal">
      <formula>0</formula>
    </cfRule>
  </conditionalFormatting>
  <conditionalFormatting sqref="H235">
    <cfRule type="cellIs" dxfId="4343" priority="593" operator="equal">
      <formula>0</formula>
    </cfRule>
  </conditionalFormatting>
  <conditionalFormatting sqref="H235">
    <cfRule type="cellIs" dxfId="4342" priority="594" operator="equal">
      <formula>0</formula>
    </cfRule>
  </conditionalFormatting>
  <conditionalFormatting sqref="H235">
    <cfRule type="cellIs" dxfId="4341" priority="595" operator="equal">
      <formula>0</formula>
    </cfRule>
  </conditionalFormatting>
  <conditionalFormatting sqref="H235">
    <cfRule type="cellIs" dxfId="4340" priority="596" operator="equal">
      <formula>0</formula>
    </cfRule>
  </conditionalFormatting>
  <conditionalFormatting sqref="H235">
    <cfRule type="cellIs" dxfId="4339" priority="597" operator="equal">
      <formula>0</formula>
    </cfRule>
  </conditionalFormatting>
  <conditionalFormatting sqref="H235">
    <cfRule type="cellIs" dxfId="4338" priority="598" operator="equal">
      <formula>0</formula>
    </cfRule>
  </conditionalFormatting>
  <conditionalFormatting sqref="H235">
    <cfRule type="cellIs" dxfId="4337" priority="599" operator="equal">
      <formula>0</formula>
    </cfRule>
  </conditionalFormatting>
  <conditionalFormatting sqref="H235">
    <cfRule type="cellIs" dxfId="4336" priority="600" operator="equal">
      <formula>0</formula>
    </cfRule>
  </conditionalFormatting>
  <conditionalFormatting sqref="H235">
    <cfRule type="cellIs" dxfId="4335" priority="601" operator="equal">
      <formula>0</formula>
    </cfRule>
  </conditionalFormatting>
  <conditionalFormatting sqref="H235">
    <cfRule type="cellIs" dxfId="4334" priority="602" operator="equal">
      <formula>0</formula>
    </cfRule>
  </conditionalFormatting>
  <conditionalFormatting sqref="H235">
    <cfRule type="cellIs" dxfId="4333" priority="603" operator="equal">
      <formula>0</formula>
    </cfRule>
  </conditionalFormatting>
  <conditionalFormatting sqref="H235">
    <cfRule type="cellIs" dxfId="4332" priority="604" operator="equal">
      <formula>0</formula>
    </cfRule>
  </conditionalFormatting>
  <conditionalFormatting sqref="H235">
    <cfRule type="cellIs" dxfId="4331" priority="605" operator="equal">
      <formula>0</formula>
    </cfRule>
  </conditionalFormatting>
  <conditionalFormatting sqref="H235">
    <cfRule type="cellIs" dxfId="4330" priority="606" operator="equal">
      <formula>0</formula>
    </cfRule>
  </conditionalFormatting>
  <conditionalFormatting sqref="H235">
    <cfRule type="cellIs" dxfId="4329" priority="607" operator="equal">
      <formula>0</formula>
    </cfRule>
  </conditionalFormatting>
  <conditionalFormatting sqref="H235">
    <cfRule type="cellIs" dxfId="4328" priority="608" operator="equal">
      <formula>0</formula>
    </cfRule>
  </conditionalFormatting>
  <conditionalFormatting sqref="H235">
    <cfRule type="cellIs" dxfId="4327" priority="609" operator="equal">
      <formula>0</formula>
    </cfRule>
  </conditionalFormatting>
  <conditionalFormatting sqref="H235">
    <cfRule type="cellIs" dxfId="4326" priority="610" operator="equal">
      <formula>0</formula>
    </cfRule>
  </conditionalFormatting>
  <conditionalFormatting sqref="H235">
    <cfRule type="cellIs" dxfId="4325" priority="611" operator="equal">
      <formula>0</formula>
    </cfRule>
  </conditionalFormatting>
  <conditionalFormatting sqref="H235">
    <cfRule type="cellIs" dxfId="4324" priority="612" operator="equal">
      <formula>0</formula>
    </cfRule>
  </conditionalFormatting>
  <conditionalFormatting sqref="H235">
    <cfRule type="cellIs" dxfId="4323" priority="613" operator="equal">
      <formula>0</formula>
    </cfRule>
  </conditionalFormatting>
  <conditionalFormatting sqref="H235">
    <cfRule type="cellIs" dxfId="4322" priority="614" operator="equal">
      <formula>0</formula>
    </cfRule>
  </conditionalFormatting>
  <conditionalFormatting sqref="H235">
    <cfRule type="cellIs" dxfId="4321" priority="615" operator="equal">
      <formula>0</formula>
    </cfRule>
  </conditionalFormatting>
  <conditionalFormatting sqref="H235">
    <cfRule type="cellIs" dxfId="4320" priority="616" operator="equal">
      <formula>0</formula>
    </cfRule>
  </conditionalFormatting>
  <conditionalFormatting sqref="H235">
    <cfRule type="cellIs" dxfId="4319" priority="617" operator="equal">
      <formula>0</formula>
    </cfRule>
  </conditionalFormatting>
  <conditionalFormatting sqref="H235">
    <cfRule type="cellIs" dxfId="4318" priority="618" operator="equal">
      <formula>0</formula>
    </cfRule>
  </conditionalFormatting>
  <conditionalFormatting sqref="H235">
    <cfRule type="cellIs" dxfId="4317" priority="619" operator="equal">
      <formula>0</formula>
    </cfRule>
  </conditionalFormatting>
  <conditionalFormatting sqref="H235">
    <cfRule type="cellIs" dxfId="4316" priority="620" operator="equal">
      <formula>0</formula>
    </cfRule>
  </conditionalFormatting>
  <conditionalFormatting sqref="H235">
    <cfRule type="cellIs" dxfId="4315" priority="621" operator="equal">
      <formula>0</formula>
    </cfRule>
  </conditionalFormatting>
  <conditionalFormatting sqref="H235">
    <cfRule type="cellIs" dxfId="4314" priority="622" operator="equal">
      <formula>0</formula>
    </cfRule>
  </conditionalFormatting>
  <conditionalFormatting sqref="H235">
    <cfRule type="cellIs" dxfId="4313" priority="623" operator="equal">
      <formula>0</formula>
    </cfRule>
  </conditionalFormatting>
  <conditionalFormatting sqref="H235">
    <cfRule type="cellIs" dxfId="4312" priority="624" operator="equal">
      <formula>0</formula>
    </cfRule>
  </conditionalFormatting>
  <conditionalFormatting sqref="H235">
    <cfRule type="cellIs" dxfId="4311" priority="625" operator="equal">
      <formula>0</formula>
    </cfRule>
  </conditionalFormatting>
  <conditionalFormatting sqref="H235">
    <cfRule type="cellIs" dxfId="4310" priority="626" operator="equal">
      <formula>0</formula>
    </cfRule>
  </conditionalFormatting>
  <conditionalFormatting sqref="H235">
    <cfRule type="cellIs" dxfId="4309" priority="627" operator="equal">
      <formula>0</formula>
    </cfRule>
  </conditionalFormatting>
  <conditionalFormatting sqref="H235">
    <cfRule type="cellIs" dxfId="4308" priority="628" operator="equal">
      <formula>0</formula>
    </cfRule>
  </conditionalFormatting>
  <conditionalFormatting sqref="H235">
    <cfRule type="cellIs" dxfId="4307" priority="629" operator="equal">
      <formula>0</formula>
    </cfRule>
  </conditionalFormatting>
  <conditionalFormatting sqref="H235">
    <cfRule type="cellIs" dxfId="4306" priority="630" operator="equal">
      <formula>0</formula>
    </cfRule>
  </conditionalFormatting>
  <conditionalFormatting sqref="H235">
    <cfRule type="cellIs" dxfId="4305" priority="631" operator="equal">
      <formula>0</formula>
    </cfRule>
  </conditionalFormatting>
  <conditionalFormatting sqref="H235">
    <cfRule type="cellIs" dxfId="4304" priority="632" operator="equal">
      <formula>0</formula>
    </cfRule>
  </conditionalFormatting>
  <conditionalFormatting sqref="H235">
    <cfRule type="cellIs" dxfId="4303" priority="633" operator="equal">
      <formula>0</formula>
    </cfRule>
  </conditionalFormatting>
  <conditionalFormatting sqref="H235">
    <cfRule type="cellIs" dxfId="4302" priority="634" operator="equal">
      <formula>0</formula>
    </cfRule>
  </conditionalFormatting>
  <conditionalFormatting sqref="H235">
    <cfRule type="cellIs" dxfId="4301" priority="635" operator="equal">
      <formula>0</formula>
    </cfRule>
  </conditionalFormatting>
  <conditionalFormatting sqref="H235">
    <cfRule type="cellIs" dxfId="4300" priority="636" operator="equal">
      <formula>0</formula>
    </cfRule>
  </conditionalFormatting>
  <conditionalFormatting sqref="H235">
    <cfRule type="cellIs" dxfId="4299" priority="637" operator="equal">
      <formula>0</formula>
    </cfRule>
  </conditionalFormatting>
  <conditionalFormatting sqref="H235">
    <cfRule type="cellIs" dxfId="4298" priority="638" operator="equal">
      <formula>0</formula>
    </cfRule>
  </conditionalFormatting>
  <conditionalFormatting sqref="H235">
    <cfRule type="cellIs" dxfId="4297" priority="639" operator="equal">
      <formula>0</formula>
    </cfRule>
  </conditionalFormatting>
  <conditionalFormatting sqref="H235">
    <cfRule type="cellIs" dxfId="4296" priority="640" operator="equal">
      <formula>0</formula>
    </cfRule>
  </conditionalFormatting>
  <conditionalFormatting sqref="H235">
    <cfRule type="cellIs" dxfId="4295" priority="641" operator="equal">
      <formula>0</formula>
    </cfRule>
  </conditionalFormatting>
  <conditionalFormatting sqref="H235">
    <cfRule type="cellIs" dxfId="4294" priority="642" operator="equal">
      <formula>0</formula>
    </cfRule>
  </conditionalFormatting>
  <conditionalFormatting sqref="H235">
    <cfRule type="cellIs" dxfId="4293" priority="643" operator="equal">
      <formula>0</formula>
    </cfRule>
  </conditionalFormatting>
  <conditionalFormatting sqref="H235">
    <cfRule type="cellIs" dxfId="4292" priority="644" operator="equal">
      <formula>0</formula>
    </cfRule>
  </conditionalFormatting>
  <conditionalFormatting sqref="H235">
    <cfRule type="cellIs" dxfId="4291" priority="645" operator="equal">
      <formula>0</formula>
    </cfRule>
  </conditionalFormatting>
  <conditionalFormatting sqref="H235">
    <cfRule type="cellIs" dxfId="4290" priority="646" operator="equal">
      <formula>0</formula>
    </cfRule>
  </conditionalFormatting>
  <conditionalFormatting sqref="H235">
    <cfRule type="cellIs" dxfId="4289" priority="647" operator="equal">
      <formula>0</formula>
    </cfRule>
  </conditionalFormatting>
  <conditionalFormatting sqref="H235">
    <cfRule type="cellIs" dxfId="4288" priority="648" operator="equal">
      <formula>0</formula>
    </cfRule>
  </conditionalFormatting>
  <conditionalFormatting sqref="H235">
    <cfRule type="cellIs" dxfId="4287" priority="649" operator="equal">
      <formula>0</formula>
    </cfRule>
  </conditionalFormatting>
  <conditionalFormatting sqref="H235">
    <cfRule type="cellIs" dxfId="4286" priority="650" operator="equal">
      <formula>0</formula>
    </cfRule>
  </conditionalFormatting>
  <conditionalFormatting sqref="H235">
    <cfRule type="cellIs" dxfId="4285" priority="651" operator="equal">
      <formula>0</formula>
    </cfRule>
  </conditionalFormatting>
  <conditionalFormatting sqref="H235">
    <cfRule type="cellIs" dxfId="4284" priority="652" operator="equal">
      <formula>0</formula>
    </cfRule>
  </conditionalFormatting>
  <conditionalFormatting sqref="H235">
    <cfRule type="cellIs" dxfId="4283" priority="653" operator="equal">
      <formula>0</formula>
    </cfRule>
  </conditionalFormatting>
  <conditionalFormatting sqref="H235">
    <cfRule type="cellIs" dxfId="4282" priority="654" operator="equal">
      <formula>0</formula>
    </cfRule>
  </conditionalFormatting>
  <conditionalFormatting sqref="H235">
    <cfRule type="cellIs" dxfId="4281" priority="655" operator="equal">
      <formula>0</formula>
    </cfRule>
  </conditionalFormatting>
  <conditionalFormatting sqref="H235">
    <cfRule type="cellIs" dxfId="4280" priority="656" operator="equal">
      <formula>0</formula>
    </cfRule>
  </conditionalFormatting>
  <conditionalFormatting sqref="H235">
    <cfRule type="cellIs" dxfId="4279" priority="657" operator="equal">
      <formula>0</formula>
    </cfRule>
  </conditionalFormatting>
  <conditionalFormatting sqref="H235">
    <cfRule type="cellIs" dxfId="4278" priority="658" operator="equal">
      <formula>0</formula>
    </cfRule>
  </conditionalFormatting>
  <conditionalFormatting sqref="H279">
    <cfRule type="cellIs" dxfId="4277" priority="659" operator="equal">
      <formula>0</formula>
    </cfRule>
  </conditionalFormatting>
  <conditionalFormatting sqref="H279">
    <cfRule type="cellIs" dxfId="4276" priority="660" operator="equal">
      <formula>0</formula>
    </cfRule>
  </conditionalFormatting>
  <conditionalFormatting sqref="H279">
    <cfRule type="cellIs" dxfId="4275" priority="661" operator="equal">
      <formula>0</formula>
    </cfRule>
  </conditionalFormatting>
  <conditionalFormatting sqref="H279">
    <cfRule type="cellIs" dxfId="4274" priority="662" operator="equal">
      <formula>0</formula>
    </cfRule>
  </conditionalFormatting>
  <conditionalFormatting sqref="H279">
    <cfRule type="cellIs" dxfId="4273" priority="663" operator="equal">
      <formula>0</formula>
    </cfRule>
  </conditionalFormatting>
  <conditionalFormatting sqref="H279">
    <cfRule type="cellIs" dxfId="4272" priority="664" operator="equal">
      <formula>0</formula>
    </cfRule>
  </conditionalFormatting>
  <conditionalFormatting sqref="H279">
    <cfRule type="cellIs" dxfId="4271" priority="665" operator="equal">
      <formula>0</formula>
    </cfRule>
  </conditionalFormatting>
  <conditionalFormatting sqref="H279">
    <cfRule type="cellIs" dxfId="4270" priority="666" operator="equal">
      <formula>0</formula>
    </cfRule>
  </conditionalFormatting>
  <conditionalFormatting sqref="H279">
    <cfRule type="cellIs" dxfId="4269" priority="667" operator="equal">
      <formula>0</formula>
    </cfRule>
  </conditionalFormatting>
  <conditionalFormatting sqref="H279">
    <cfRule type="cellIs" dxfId="4268" priority="668" operator="equal">
      <formula>0</formula>
    </cfRule>
  </conditionalFormatting>
  <conditionalFormatting sqref="H279">
    <cfRule type="cellIs" dxfId="4267" priority="669" operator="equal">
      <formula>0</formula>
    </cfRule>
  </conditionalFormatting>
  <conditionalFormatting sqref="H279">
    <cfRule type="cellIs" dxfId="4266" priority="670" operator="equal">
      <formula>0</formula>
    </cfRule>
  </conditionalFormatting>
  <conditionalFormatting sqref="H279">
    <cfRule type="cellIs" dxfId="4265" priority="671" operator="equal">
      <formula>0</formula>
    </cfRule>
  </conditionalFormatting>
  <conditionalFormatting sqref="H279">
    <cfRule type="cellIs" dxfId="4264" priority="672" operator="equal">
      <formula>0</formula>
    </cfRule>
  </conditionalFormatting>
  <conditionalFormatting sqref="H279">
    <cfRule type="cellIs" dxfId="4263" priority="673" operator="equal">
      <formula>0</formula>
    </cfRule>
  </conditionalFormatting>
  <conditionalFormatting sqref="H279">
    <cfRule type="cellIs" dxfId="4262" priority="674" operator="equal">
      <formula>0</formula>
    </cfRule>
  </conditionalFormatting>
  <conditionalFormatting sqref="H279">
    <cfRule type="cellIs" dxfId="4261" priority="675" operator="equal">
      <formula>0</formula>
    </cfRule>
  </conditionalFormatting>
  <conditionalFormatting sqref="H279">
    <cfRule type="cellIs" dxfId="4260" priority="676" operator="equal">
      <formula>0</formula>
    </cfRule>
  </conditionalFormatting>
  <conditionalFormatting sqref="H279">
    <cfRule type="cellIs" dxfId="4259" priority="677" operator="equal">
      <formula>0</formula>
    </cfRule>
  </conditionalFormatting>
  <conditionalFormatting sqref="H279">
    <cfRule type="cellIs" dxfId="4258" priority="678" operator="equal">
      <formula>0</formula>
    </cfRule>
  </conditionalFormatting>
  <conditionalFormatting sqref="H279">
    <cfRule type="cellIs" dxfId="4257" priority="679" operator="equal">
      <formula>0</formula>
    </cfRule>
  </conditionalFormatting>
  <conditionalFormatting sqref="H279">
    <cfRule type="cellIs" dxfId="4256" priority="680" operator="equal">
      <formula>0</formula>
    </cfRule>
  </conditionalFormatting>
  <conditionalFormatting sqref="H279">
    <cfRule type="cellIs" dxfId="4255" priority="681" operator="equal">
      <formula>0</formula>
    </cfRule>
  </conditionalFormatting>
  <conditionalFormatting sqref="H279">
    <cfRule type="cellIs" dxfId="4254" priority="682" operator="equal">
      <formula>0</formula>
    </cfRule>
  </conditionalFormatting>
  <conditionalFormatting sqref="H279">
    <cfRule type="cellIs" dxfId="4253" priority="683" operator="equal">
      <formula>0</formula>
    </cfRule>
  </conditionalFormatting>
  <conditionalFormatting sqref="H279">
    <cfRule type="cellIs" dxfId="4252" priority="684" operator="equal">
      <formula>0</formula>
    </cfRule>
  </conditionalFormatting>
  <conditionalFormatting sqref="H279">
    <cfRule type="cellIs" dxfId="4251" priority="685" operator="equal">
      <formula>0</formula>
    </cfRule>
  </conditionalFormatting>
  <conditionalFormatting sqref="H279">
    <cfRule type="cellIs" dxfId="4250" priority="686" operator="equal">
      <formula>0</formula>
    </cfRule>
  </conditionalFormatting>
  <conditionalFormatting sqref="H279">
    <cfRule type="cellIs" dxfId="4249" priority="687" operator="equal">
      <formula>0</formula>
    </cfRule>
  </conditionalFormatting>
  <conditionalFormatting sqref="H279">
    <cfRule type="cellIs" dxfId="4248" priority="688" operator="equal">
      <formula>0</formula>
    </cfRule>
  </conditionalFormatting>
  <conditionalFormatting sqref="H279">
    <cfRule type="cellIs" dxfId="4247" priority="689" operator="equal">
      <formula>0</formula>
    </cfRule>
  </conditionalFormatting>
  <conditionalFormatting sqref="H279">
    <cfRule type="cellIs" dxfId="4246" priority="690" operator="equal">
      <formula>0</formula>
    </cfRule>
  </conditionalFormatting>
  <conditionalFormatting sqref="H279">
    <cfRule type="cellIs" dxfId="4245" priority="691" operator="equal">
      <formula>0</formula>
    </cfRule>
  </conditionalFormatting>
  <conditionalFormatting sqref="H279">
    <cfRule type="cellIs" dxfId="4244" priority="692" operator="equal">
      <formula>0</formula>
    </cfRule>
  </conditionalFormatting>
  <conditionalFormatting sqref="H279">
    <cfRule type="cellIs" dxfId="4243" priority="693" operator="equal">
      <formula>0</formula>
    </cfRule>
  </conditionalFormatting>
  <conditionalFormatting sqref="H279">
    <cfRule type="cellIs" dxfId="4242" priority="694" operator="equal">
      <formula>0</formula>
    </cfRule>
  </conditionalFormatting>
  <conditionalFormatting sqref="H279">
    <cfRule type="cellIs" dxfId="4241" priority="695" operator="equal">
      <formula>0</formula>
    </cfRule>
  </conditionalFormatting>
  <conditionalFormatting sqref="H279">
    <cfRule type="cellIs" dxfId="4240" priority="696" operator="equal">
      <formula>0</formula>
    </cfRule>
  </conditionalFormatting>
  <conditionalFormatting sqref="H279">
    <cfRule type="cellIs" dxfId="4239" priority="697" operator="equal">
      <formula>0</formula>
    </cfRule>
  </conditionalFormatting>
  <conditionalFormatting sqref="H279">
    <cfRule type="cellIs" dxfId="4238" priority="698" operator="equal">
      <formula>0</formula>
    </cfRule>
  </conditionalFormatting>
  <conditionalFormatting sqref="H279">
    <cfRule type="cellIs" dxfId="4237" priority="699" operator="equal">
      <formula>0</formula>
    </cfRule>
  </conditionalFormatting>
  <conditionalFormatting sqref="H279">
    <cfRule type="cellIs" dxfId="4236" priority="700" operator="equal">
      <formula>0</formula>
    </cfRule>
  </conditionalFormatting>
  <conditionalFormatting sqref="H279">
    <cfRule type="cellIs" dxfId="4235" priority="701" operator="equal">
      <formula>0</formula>
    </cfRule>
  </conditionalFormatting>
  <conditionalFormatting sqref="H279">
    <cfRule type="cellIs" dxfId="4234" priority="702" operator="equal">
      <formula>0</formula>
    </cfRule>
  </conditionalFormatting>
  <conditionalFormatting sqref="H279">
    <cfRule type="cellIs" dxfId="4233" priority="703" operator="equal">
      <formula>0</formula>
    </cfRule>
  </conditionalFormatting>
  <conditionalFormatting sqref="H279">
    <cfRule type="cellIs" dxfId="4232" priority="704" operator="equal">
      <formula>0</formula>
    </cfRule>
  </conditionalFormatting>
  <conditionalFormatting sqref="H279">
    <cfRule type="cellIs" dxfId="4231" priority="705" operator="equal">
      <formula>0</formula>
    </cfRule>
  </conditionalFormatting>
  <conditionalFormatting sqref="H279">
    <cfRule type="cellIs" dxfId="4230" priority="706" operator="equal">
      <formula>0</formula>
    </cfRule>
  </conditionalFormatting>
  <conditionalFormatting sqref="H279">
    <cfRule type="cellIs" dxfId="4229" priority="707" operator="equal">
      <formula>0</formula>
    </cfRule>
  </conditionalFormatting>
  <conditionalFormatting sqref="H279">
    <cfRule type="cellIs" dxfId="4228" priority="708" operator="equal">
      <formula>0</formula>
    </cfRule>
  </conditionalFormatting>
  <conditionalFormatting sqref="H279">
    <cfRule type="cellIs" dxfId="4227" priority="709" operator="equal">
      <formula>0</formula>
    </cfRule>
  </conditionalFormatting>
  <conditionalFormatting sqref="H279">
    <cfRule type="cellIs" dxfId="4226" priority="710" operator="equal">
      <formula>0</formula>
    </cfRule>
  </conditionalFormatting>
  <conditionalFormatting sqref="H279">
    <cfRule type="cellIs" dxfId="4225" priority="711" operator="equal">
      <formula>0</formula>
    </cfRule>
  </conditionalFormatting>
  <conditionalFormatting sqref="H279">
    <cfRule type="cellIs" dxfId="4224" priority="712" operator="equal">
      <formula>0</formula>
    </cfRule>
  </conditionalFormatting>
  <conditionalFormatting sqref="H279">
    <cfRule type="cellIs" dxfId="4223" priority="713" operator="equal">
      <formula>0</formula>
    </cfRule>
  </conditionalFormatting>
  <conditionalFormatting sqref="H279">
    <cfRule type="cellIs" dxfId="4222" priority="714" operator="equal">
      <formula>0</formula>
    </cfRule>
  </conditionalFormatting>
  <conditionalFormatting sqref="H279">
    <cfRule type="cellIs" dxfId="4221" priority="715" operator="equal">
      <formula>0</formula>
    </cfRule>
  </conditionalFormatting>
  <conditionalFormatting sqref="H279">
    <cfRule type="cellIs" dxfId="4220" priority="716" operator="equal">
      <formula>0</formula>
    </cfRule>
  </conditionalFormatting>
  <conditionalFormatting sqref="H279">
    <cfRule type="cellIs" dxfId="4219" priority="717" operator="equal">
      <formula>0</formula>
    </cfRule>
  </conditionalFormatting>
  <conditionalFormatting sqref="H279">
    <cfRule type="cellIs" dxfId="4218" priority="718" operator="equal">
      <formula>0</formula>
    </cfRule>
  </conditionalFormatting>
  <conditionalFormatting sqref="H279">
    <cfRule type="cellIs" dxfId="4217" priority="719" operator="equal">
      <formula>0</formula>
    </cfRule>
  </conditionalFormatting>
  <conditionalFormatting sqref="H279">
    <cfRule type="cellIs" dxfId="4216" priority="720" operator="equal">
      <formula>0</formula>
    </cfRule>
  </conditionalFormatting>
  <conditionalFormatting sqref="H279">
    <cfRule type="cellIs" dxfId="4215" priority="721" operator="equal">
      <formula>0</formula>
    </cfRule>
  </conditionalFormatting>
  <conditionalFormatting sqref="H279">
    <cfRule type="cellIs" dxfId="4214" priority="722" operator="equal">
      <formula>0</formula>
    </cfRule>
  </conditionalFormatting>
  <conditionalFormatting sqref="H279">
    <cfRule type="cellIs" dxfId="4213" priority="723" operator="equal">
      <formula>0</formula>
    </cfRule>
  </conditionalFormatting>
  <conditionalFormatting sqref="H279">
    <cfRule type="cellIs" dxfId="4212" priority="724" operator="equal">
      <formula>0</formula>
    </cfRule>
  </conditionalFormatting>
  <conditionalFormatting sqref="H279">
    <cfRule type="cellIs" dxfId="4211" priority="725" operator="equal">
      <formula>0</formula>
    </cfRule>
  </conditionalFormatting>
  <conditionalFormatting sqref="H323">
    <cfRule type="cellIs" dxfId="4210" priority="726" operator="equal">
      <formula>0</formula>
    </cfRule>
  </conditionalFormatting>
  <conditionalFormatting sqref="H323">
    <cfRule type="cellIs" dxfId="4209" priority="727" operator="equal">
      <formula>0</formula>
    </cfRule>
  </conditionalFormatting>
  <conditionalFormatting sqref="H323">
    <cfRule type="cellIs" dxfId="4208" priority="728" operator="equal">
      <formula>0</formula>
    </cfRule>
  </conditionalFormatting>
  <conditionalFormatting sqref="H323">
    <cfRule type="cellIs" dxfId="4207" priority="729" operator="equal">
      <formula>0</formula>
    </cfRule>
  </conditionalFormatting>
  <conditionalFormatting sqref="H323">
    <cfRule type="cellIs" dxfId="4206" priority="730" operator="equal">
      <formula>0</formula>
    </cfRule>
  </conditionalFormatting>
  <conditionalFormatting sqref="H323">
    <cfRule type="cellIs" dxfId="4205" priority="731" operator="equal">
      <formula>0</formula>
    </cfRule>
  </conditionalFormatting>
  <conditionalFormatting sqref="H323">
    <cfRule type="cellIs" dxfId="4204" priority="732" operator="equal">
      <formula>0</formula>
    </cfRule>
  </conditionalFormatting>
  <conditionalFormatting sqref="H323">
    <cfRule type="cellIs" dxfId="4203" priority="733" operator="equal">
      <formula>0</formula>
    </cfRule>
  </conditionalFormatting>
  <conditionalFormatting sqref="H323">
    <cfRule type="cellIs" dxfId="4202" priority="734" operator="equal">
      <formula>0</formula>
    </cfRule>
  </conditionalFormatting>
  <conditionalFormatting sqref="H323">
    <cfRule type="cellIs" dxfId="4201" priority="735" operator="equal">
      <formula>0</formula>
    </cfRule>
  </conditionalFormatting>
  <conditionalFormatting sqref="H323">
    <cfRule type="cellIs" dxfId="4200" priority="736" operator="equal">
      <formula>0</formula>
    </cfRule>
  </conditionalFormatting>
  <conditionalFormatting sqref="H323">
    <cfRule type="cellIs" dxfId="4199" priority="737" operator="equal">
      <formula>0</formula>
    </cfRule>
  </conditionalFormatting>
  <conditionalFormatting sqref="H323">
    <cfRule type="cellIs" dxfId="4198" priority="738" operator="equal">
      <formula>0</formula>
    </cfRule>
  </conditionalFormatting>
  <conditionalFormatting sqref="H323">
    <cfRule type="cellIs" dxfId="4197" priority="739" operator="equal">
      <formula>0</formula>
    </cfRule>
  </conditionalFormatting>
  <conditionalFormatting sqref="H323">
    <cfRule type="cellIs" dxfId="4196" priority="740" operator="equal">
      <formula>0</formula>
    </cfRule>
  </conditionalFormatting>
  <conditionalFormatting sqref="H323">
    <cfRule type="cellIs" dxfId="4195" priority="741" operator="equal">
      <formula>0</formula>
    </cfRule>
  </conditionalFormatting>
  <conditionalFormatting sqref="H323">
    <cfRule type="cellIs" dxfId="4194" priority="742" operator="equal">
      <formula>0</formula>
    </cfRule>
  </conditionalFormatting>
  <conditionalFormatting sqref="H323">
    <cfRule type="cellIs" dxfId="4193" priority="743" operator="equal">
      <formula>0</formula>
    </cfRule>
  </conditionalFormatting>
  <conditionalFormatting sqref="H323">
    <cfRule type="cellIs" dxfId="4192" priority="744" operator="equal">
      <formula>0</formula>
    </cfRule>
  </conditionalFormatting>
  <conditionalFormatting sqref="H323">
    <cfRule type="cellIs" dxfId="4191" priority="745" operator="equal">
      <formula>0</formula>
    </cfRule>
  </conditionalFormatting>
  <conditionalFormatting sqref="H323">
    <cfRule type="cellIs" dxfId="4190" priority="746" operator="equal">
      <formula>0</formula>
    </cfRule>
  </conditionalFormatting>
  <conditionalFormatting sqref="H323">
    <cfRule type="cellIs" dxfId="4189" priority="747" operator="equal">
      <formula>0</formula>
    </cfRule>
  </conditionalFormatting>
  <conditionalFormatting sqref="H323">
    <cfRule type="cellIs" dxfId="4188" priority="748" operator="equal">
      <formula>0</formula>
    </cfRule>
  </conditionalFormatting>
  <conditionalFormatting sqref="H323">
    <cfRule type="cellIs" dxfId="4187" priority="749" operator="equal">
      <formula>0</formula>
    </cfRule>
  </conditionalFormatting>
  <conditionalFormatting sqref="H323">
    <cfRule type="cellIs" dxfId="4186" priority="750" operator="equal">
      <formula>0</formula>
    </cfRule>
  </conditionalFormatting>
  <conditionalFormatting sqref="H323">
    <cfRule type="cellIs" dxfId="4185" priority="751" operator="equal">
      <formula>0</formula>
    </cfRule>
  </conditionalFormatting>
  <conditionalFormatting sqref="H323">
    <cfRule type="cellIs" dxfId="4184" priority="752" operator="equal">
      <formula>0</formula>
    </cfRule>
  </conditionalFormatting>
  <conditionalFormatting sqref="H323">
    <cfRule type="cellIs" dxfId="4183" priority="753" operator="equal">
      <formula>0</formula>
    </cfRule>
  </conditionalFormatting>
  <conditionalFormatting sqref="H323">
    <cfRule type="cellIs" dxfId="4182" priority="754" operator="equal">
      <formula>0</formula>
    </cfRule>
  </conditionalFormatting>
  <conditionalFormatting sqref="H323">
    <cfRule type="cellIs" dxfId="4181" priority="755" operator="equal">
      <formula>0</formula>
    </cfRule>
  </conditionalFormatting>
  <conditionalFormatting sqref="H323">
    <cfRule type="cellIs" dxfId="4180" priority="756" operator="equal">
      <formula>0</formula>
    </cfRule>
  </conditionalFormatting>
  <conditionalFormatting sqref="H323">
    <cfRule type="cellIs" dxfId="4179" priority="757" operator="equal">
      <formula>0</formula>
    </cfRule>
  </conditionalFormatting>
  <conditionalFormatting sqref="H323">
    <cfRule type="cellIs" dxfId="4178" priority="758" operator="equal">
      <formula>0</formula>
    </cfRule>
  </conditionalFormatting>
  <conditionalFormatting sqref="H323">
    <cfRule type="cellIs" dxfId="4177" priority="759" operator="equal">
      <formula>0</formula>
    </cfRule>
  </conditionalFormatting>
  <conditionalFormatting sqref="H323">
    <cfRule type="cellIs" dxfId="4176" priority="760" operator="equal">
      <formula>0</formula>
    </cfRule>
  </conditionalFormatting>
  <conditionalFormatting sqref="H323">
    <cfRule type="cellIs" dxfId="4175" priority="761" operator="equal">
      <formula>0</formula>
    </cfRule>
  </conditionalFormatting>
  <conditionalFormatting sqref="H323">
    <cfRule type="cellIs" dxfId="4174" priority="762" operator="equal">
      <formula>0</formula>
    </cfRule>
  </conditionalFormatting>
  <conditionalFormatting sqref="H323">
    <cfRule type="cellIs" dxfId="4173" priority="763" operator="equal">
      <formula>0</formula>
    </cfRule>
  </conditionalFormatting>
  <conditionalFormatting sqref="H323">
    <cfRule type="cellIs" dxfId="4172" priority="764" operator="equal">
      <formula>0</formula>
    </cfRule>
  </conditionalFormatting>
  <conditionalFormatting sqref="H323">
    <cfRule type="cellIs" dxfId="4171" priority="765" operator="equal">
      <formula>0</formula>
    </cfRule>
  </conditionalFormatting>
  <conditionalFormatting sqref="H323">
    <cfRule type="cellIs" dxfId="4170" priority="766" operator="equal">
      <formula>0</formula>
    </cfRule>
  </conditionalFormatting>
  <conditionalFormatting sqref="H323">
    <cfRule type="cellIs" dxfId="4169" priority="767" operator="equal">
      <formula>0</formula>
    </cfRule>
  </conditionalFormatting>
  <conditionalFormatting sqref="H323">
    <cfRule type="cellIs" dxfId="4168" priority="768" operator="equal">
      <formula>0</formula>
    </cfRule>
  </conditionalFormatting>
  <conditionalFormatting sqref="H323">
    <cfRule type="cellIs" dxfId="4167" priority="769" operator="equal">
      <formula>0</formula>
    </cfRule>
  </conditionalFormatting>
  <conditionalFormatting sqref="H323">
    <cfRule type="cellIs" dxfId="4166" priority="770" operator="equal">
      <formula>0</formula>
    </cfRule>
  </conditionalFormatting>
  <conditionalFormatting sqref="H323">
    <cfRule type="cellIs" dxfId="4165" priority="771" operator="equal">
      <formula>0</formula>
    </cfRule>
  </conditionalFormatting>
  <conditionalFormatting sqref="H323">
    <cfRule type="cellIs" dxfId="4164" priority="772" operator="equal">
      <formula>0</formula>
    </cfRule>
  </conditionalFormatting>
  <conditionalFormatting sqref="H323">
    <cfRule type="cellIs" dxfId="4163" priority="773" operator="equal">
      <formula>0</formula>
    </cfRule>
  </conditionalFormatting>
  <conditionalFormatting sqref="H323">
    <cfRule type="cellIs" dxfId="4162" priority="774" operator="equal">
      <formula>0</formula>
    </cfRule>
  </conditionalFormatting>
  <conditionalFormatting sqref="H323">
    <cfRule type="cellIs" dxfId="4161" priority="775" operator="equal">
      <formula>0</formula>
    </cfRule>
  </conditionalFormatting>
  <conditionalFormatting sqref="H323">
    <cfRule type="cellIs" dxfId="4160" priority="776" operator="equal">
      <formula>0</formula>
    </cfRule>
  </conditionalFormatting>
  <conditionalFormatting sqref="H323">
    <cfRule type="cellIs" dxfId="4159" priority="777" operator="equal">
      <formula>0</formula>
    </cfRule>
  </conditionalFormatting>
  <conditionalFormatting sqref="H323">
    <cfRule type="cellIs" dxfId="4158" priority="778" operator="equal">
      <formula>0</formula>
    </cfRule>
  </conditionalFormatting>
  <conditionalFormatting sqref="H323">
    <cfRule type="cellIs" dxfId="4157" priority="779" operator="equal">
      <formula>0</formula>
    </cfRule>
  </conditionalFormatting>
  <conditionalFormatting sqref="H323">
    <cfRule type="cellIs" dxfId="4156" priority="780" operator="equal">
      <formula>0</formula>
    </cfRule>
  </conditionalFormatting>
  <conditionalFormatting sqref="H323">
    <cfRule type="cellIs" dxfId="4155" priority="781" operator="equal">
      <formula>0</formula>
    </cfRule>
  </conditionalFormatting>
  <conditionalFormatting sqref="H323">
    <cfRule type="cellIs" dxfId="4154" priority="782" operator="equal">
      <formula>0</formula>
    </cfRule>
  </conditionalFormatting>
  <conditionalFormatting sqref="H323">
    <cfRule type="cellIs" dxfId="4153" priority="783" operator="equal">
      <formula>0</formula>
    </cfRule>
  </conditionalFormatting>
  <conditionalFormatting sqref="H323">
    <cfRule type="cellIs" dxfId="4152" priority="784" operator="equal">
      <formula>0</formula>
    </cfRule>
  </conditionalFormatting>
  <conditionalFormatting sqref="H323">
    <cfRule type="cellIs" dxfId="4151" priority="785" operator="equal">
      <formula>0</formula>
    </cfRule>
  </conditionalFormatting>
  <conditionalFormatting sqref="H323">
    <cfRule type="cellIs" dxfId="4150" priority="786" operator="equal">
      <formula>0</formula>
    </cfRule>
  </conditionalFormatting>
  <conditionalFormatting sqref="H323">
    <cfRule type="cellIs" dxfId="4149" priority="787" operator="equal">
      <formula>0</formula>
    </cfRule>
  </conditionalFormatting>
  <conditionalFormatting sqref="H323">
    <cfRule type="cellIs" dxfId="4148" priority="788" operator="equal">
      <formula>0</formula>
    </cfRule>
  </conditionalFormatting>
  <conditionalFormatting sqref="H323">
    <cfRule type="cellIs" dxfId="4147" priority="789" operator="equal">
      <formula>0</formula>
    </cfRule>
  </conditionalFormatting>
  <conditionalFormatting sqref="H323">
    <cfRule type="cellIs" dxfId="4146" priority="790" operator="equal">
      <formula>0</formula>
    </cfRule>
  </conditionalFormatting>
  <conditionalFormatting sqref="H323">
    <cfRule type="cellIs" dxfId="4145" priority="791" operator="equal">
      <formula>0</formula>
    </cfRule>
  </conditionalFormatting>
  <conditionalFormatting sqref="H323">
    <cfRule type="cellIs" dxfId="4144" priority="792" operator="equal">
      <formula>0</formula>
    </cfRule>
  </conditionalFormatting>
  <conditionalFormatting sqref="H367">
    <cfRule type="cellIs" dxfId="4143" priority="793" operator="equal">
      <formula>0</formula>
    </cfRule>
  </conditionalFormatting>
  <conditionalFormatting sqref="H367">
    <cfRule type="cellIs" dxfId="4142" priority="794" operator="equal">
      <formula>0</formula>
    </cfRule>
  </conditionalFormatting>
  <conditionalFormatting sqref="H367">
    <cfRule type="cellIs" dxfId="4141" priority="795" operator="equal">
      <formula>0</formula>
    </cfRule>
  </conditionalFormatting>
  <conditionalFormatting sqref="H367">
    <cfRule type="cellIs" dxfId="4140" priority="796" operator="equal">
      <formula>0</formula>
    </cfRule>
  </conditionalFormatting>
  <conditionalFormatting sqref="H367">
    <cfRule type="cellIs" dxfId="4139" priority="797" operator="equal">
      <formula>0</formula>
    </cfRule>
  </conditionalFormatting>
  <conditionalFormatting sqref="H367">
    <cfRule type="cellIs" dxfId="4138" priority="798" operator="equal">
      <formula>0</formula>
    </cfRule>
  </conditionalFormatting>
  <conditionalFormatting sqref="H367">
    <cfRule type="cellIs" dxfId="4137" priority="799" operator="equal">
      <formula>0</formula>
    </cfRule>
  </conditionalFormatting>
  <conditionalFormatting sqref="H367">
    <cfRule type="cellIs" dxfId="4136" priority="800" operator="equal">
      <formula>0</formula>
    </cfRule>
  </conditionalFormatting>
  <conditionalFormatting sqref="H367">
    <cfRule type="cellIs" dxfId="4135" priority="801" operator="equal">
      <formula>0</formula>
    </cfRule>
  </conditionalFormatting>
  <conditionalFormatting sqref="H367">
    <cfRule type="cellIs" dxfId="4134" priority="802" operator="equal">
      <formula>0</formula>
    </cfRule>
  </conditionalFormatting>
  <conditionalFormatting sqref="H367">
    <cfRule type="cellIs" dxfId="4133" priority="803" operator="equal">
      <formula>0</formula>
    </cfRule>
  </conditionalFormatting>
  <conditionalFormatting sqref="H367">
    <cfRule type="cellIs" dxfId="4132" priority="804" operator="equal">
      <formula>0</formula>
    </cfRule>
  </conditionalFormatting>
  <conditionalFormatting sqref="H367">
    <cfRule type="cellIs" dxfId="4131" priority="805" operator="equal">
      <formula>0</formula>
    </cfRule>
  </conditionalFormatting>
  <conditionalFormatting sqref="H367">
    <cfRule type="cellIs" dxfId="4130" priority="806" operator="equal">
      <formula>0</formula>
    </cfRule>
  </conditionalFormatting>
  <conditionalFormatting sqref="H367">
    <cfRule type="cellIs" dxfId="4129" priority="807" operator="equal">
      <formula>0</formula>
    </cfRule>
  </conditionalFormatting>
  <conditionalFormatting sqref="H367">
    <cfRule type="cellIs" dxfId="4128" priority="808" operator="equal">
      <formula>0</formula>
    </cfRule>
  </conditionalFormatting>
  <conditionalFormatting sqref="H367">
    <cfRule type="cellIs" dxfId="4127" priority="809" operator="equal">
      <formula>0</formula>
    </cfRule>
  </conditionalFormatting>
  <conditionalFormatting sqref="H367">
    <cfRule type="cellIs" dxfId="4126" priority="810" operator="equal">
      <formula>0</formula>
    </cfRule>
  </conditionalFormatting>
  <conditionalFormatting sqref="H367">
    <cfRule type="cellIs" dxfId="4125" priority="811" operator="equal">
      <formula>0</formula>
    </cfRule>
  </conditionalFormatting>
  <conditionalFormatting sqref="H367">
    <cfRule type="cellIs" dxfId="4124" priority="812" operator="equal">
      <formula>0</formula>
    </cfRule>
  </conditionalFormatting>
  <conditionalFormatting sqref="H367">
    <cfRule type="cellIs" dxfId="4123" priority="813" operator="equal">
      <formula>0</formula>
    </cfRule>
  </conditionalFormatting>
  <conditionalFormatting sqref="H367">
    <cfRule type="cellIs" dxfId="4122" priority="814" operator="equal">
      <formula>0</formula>
    </cfRule>
  </conditionalFormatting>
  <conditionalFormatting sqref="H367">
    <cfRule type="cellIs" dxfId="4121" priority="815" operator="equal">
      <formula>0</formula>
    </cfRule>
  </conditionalFormatting>
  <conditionalFormatting sqref="H367">
    <cfRule type="cellIs" dxfId="4120" priority="816" operator="equal">
      <formula>0</formula>
    </cfRule>
  </conditionalFormatting>
  <conditionalFormatting sqref="H367">
    <cfRule type="cellIs" dxfId="4119" priority="817" operator="equal">
      <formula>0</formula>
    </cfRule>
  </conditionalFormatting>
  <conditionalFormatting sqref="H367">
    <cfRule type="cellIs" dxfId="4118" priority="818" operator="equal">
      <formula>0</formula>
    </cfRule>
  </conditionalFormatting>
  <conditionalFormatting sqref="H367">
    <cfRule type="cellIs" dxfId="4117" priority="819" operator="equal">
      <formula>0</formula>
    </cfRule>
  </conditionalFormatting>
  <conditionalFormatting sqref="H367">
    <cfRule type="cellIs" dxfId="4116" priority="820" operator="equal">
      <formula>0</formula>
    </cfRule>
  </conditionalFormatting>
  <conditionalFormatting sqref="H367">
    <cfRule type="cellIs" dxfId="4115" priority="821" operator="equal">
      <formula>0</formula>
    </cfRule>
  </conditionalFormatting>
  <conditionalFormatting sqref="H367">
    <cfRule type="cellIs" dxfId="4114" priority="822" operator="equal">
      <formula>0</formula>
    </cfRule>
  </conditionalFormatting>
  <conditionalFormatting sqref="H367">
    <cfRule type="cellIs" dxfId="4113" priority="823" operator="equal">
      <formula>0</formula>
    </cfRule>
  </conditionalFormatting>
  <conditionalFormatting sqref="H367">
    <cfRule type="cellIs" dxfId="4112" priority="824" operator="equal">
      <formula>0</formula>
    </cfRule>
  </conditionalFormatting>
  <conditionalFormatting sqref="H367">
    <cfRule type="cellIs" dxfId="4111" priority="825" operator="equal">
      <formula>0</formula>
    </cfRule>
  </conditionalFormatting>
  <conditionalFormatting sqref="H367">
    <cfRule type="cellIs" dxfId="4110" priority="826" operator="equal">
      <formula>0</formula>
    </cfRule>
  </conditionalFormatting>
  <conditionalFormatting sqref="H367">
    <cfRule type="cellIs" dxfId="4109" priority="827" operator="equal">
      <formula>0</formula>
    </cfRule>
  </conditionalFormatting>
  <conditionalFormatting sqref="H367">
    <cfRule type="cellIs" dxfId="4108" priority="828" operator="equal">
      <formula>0</formula>
    </cfRule>
  </conditionalFormatting>
  <conditionalFormatting sqref="H367">
    <cfRule type="cellIs" dxfId="4107" priority="829" operator="equal">
      <formula>0</formula>
    </cfRule>
  </conditionalFormatting>
  <conditionalFormatting sqref="H367">
    <cfRule type="cellIs" dxfId="4106" priority="830" operator="equal">
      <formula>0</formula>
    </cfRule>
  </conditionalFormatting>
  <conditionalFormatting sqref="H367">
    <cfRule type="cellIs" dxfId="4105" priority="831" operator="equal">
      <formula>0</formula>
    </cfRule>
  </conditionalFormatting>
  <conditionalFormatting sqref="H367">
    <cfRule type="cellIs" dxfId="4104" priority="832" operator="equal">
      <formula>0</formula>
    </cfRule>
  </conditionalFormatting>
  <conditionalFormatting sqref="H367">
    <cfRule type="cellIs" dxfId="4103" priority="833" operator="equal">
      <formula>0</formula>
    </cfRule>
  </conditionalFormatting>
  <conditionalFormatting sqref="H367">
    <cfRule type="cellIs" dxfId="4102" priority="834" operator="equal">
      <formula>0</formula>
    </cfRule>
  </conditionalFormatting>
  <conditionalFormatting sqref="H367">
    <cfRule type="cellIs" dxfId="4101" priority="835" operator="equal">
      <formula>0</formula>
    </cfRule>
  </conditionalFormatting>
  <conditionalFormatting sqref="H367">
    <cfRule type="cellIs" dxfId="4100" priority="836" operator="equal">
      <formula>0</formula>
    </cfRule>
  </conditionalFormatting>
  <conditionalFormatting sqref="H367">
    <cfRule type="cellIs" dxfId="4099" priority="837" operator="equal">
      <formula>0</formula>
    </cfRule>
  </conditionalFormatting>
  <conditionalFormatting sqref="H367">
    <cfRule type="cellIs" dxfId="4098" priority="838" operator="equal">
      <formula>0</formula>
    </cfRule>
  </conditionalFormatting>
  <conditionalFormatting sqref="H367">
    <cfRule type="cellIs" dxfId="4097" priority="839" operator="equal">
      <formula>0</formula>
    </cfRule>
  </conditionalFormatting>
  <conditionalFormatting sqref="H367">
    <cfRule type="cellIs" dxfId="4096" priority="840" operator="equal">
      <formula>0</formula>
    </cfRule>
  </conditionalFormatting>
  <conditionalFormatting sqref="H367">
    <cfRule type="cellIs" dxfId="4095" priority="841" operator="equal">
      <formula>0</formula>
    </cfRule>
  </conditionalFormatting>
  <conditionalFormatting sqref="H367">
    <cfRule type="cellIs" dxfId="4094" priority="842" operator="equal">
      <formula>0</formula>
    </cfRule>
  </conditionalFormatting>
  <conditionalFormatting sqref="H367">
    <cfRule type="cellIs" dxfId="4093" priority="843" operator="equal">
      <formula>0</formula>
    </cfRule>
  </conditionalFormatting>
  <conditionalFormatting sqref="H367">
    <cfRule type="cellIs" dxfId="4092" priority="844" operator="equal">
      <formula>0</formula>
    </cfRule>
  </conditionalFormatting>
  <conditionalFormatting sqref="H367">
    <cfRule type="cellIs" dxfId="4091" priority="845" operator="equal">
      <formula>0</formula>
    </cfRule>
  </conditionalFormatting>
  <conditionalFormatting sqref="H367">
    <cfRule type="cellIs" dxfId="4090" priority="846" operator="equal">
      <formula>0</formula>
    </cfRule>
  </conditionalFormatting>
  <conditionalFormatting sqref="H367">
    <cfRule type="cellIs" dxfId="4089" priority="847" operator="equal">
      <formula>0</formula>
    </cfRule>
  </conditionalFormatting>
  <conditionalFormatting sqref="H367">
    <cfRule type="cellIs" dxfId="4088" priority="848" operator="equal">
      <formula>0</formula>
    </cfRule>
  </conditionalFormatting>
  <conditionalFormatting sqref="H367">
    <cfRule type="cellIs" dxfId="4087" priority="849" operator="equal">
      <formula>0</formula>
    </cfRule>
  </conditionalFormatting>
  <conditionalFormatting sqref="H367">
    <cfRule type="cellIs" dxfId="4086" priority="850" operator="equal">
      <formula>0</formula>
    </cfRule>
  </conditionalFormatting>
  <conditionalFormatting sqref="H367">
    <cfRule type="cellIs" dxfId="4085" priority="851" operator="equal">
      <formula>0</formula>
    </cfRule>
  </conditionalFormatting>
  <conditionalFormatting sqref="H367">
    <cfRule type="cellIs" dxfId="4084" priority="852" operator="equal">
      <formula>0</formula>
    </cfRule>
  </conditionalFormatting>
  <conditionalFormatting sqref="H367">
    <cfRule type="cellIs" dxfId="4083" priority="853" operator="equal">
      <formula>0</formula>
    </cfRule>
  </conditionalFormatting>
  <conditionalFormatting sqref="H367">
    <cfRule type="cellIs" dxfId="4082" priority="854" operator="equal">
      <formula>0</formula>
    </cfRule>
  </conditionalFormatting>
  <conditionalFormatting sqref="H367">
    <cfRule type="cellIs" dxfId="4081" priority="855" operator="equal">
      <formula>0</formula>
    </cfRule>
  </conditionalFormatting>
  <conditionalFormatting sqref="H367">
    <cfRule type="cellIs" dxfId="4080" priority="856" operator="equal">
      <formula>0</formula>
    </cfRule>
  </conditionalFormatting>
  <conditionalFormatting sqref="H367">
    <cfRule type="cellIs" dxfId="4079" priority="857" operator="equal">
      <formula>0</formula>
    </cfRule>
  </conditionalFormatting>
  <conditionalFormatting sqref="H367">
    <cfRule type="cellIs" dxfId="4078" priority="858" operator="equal">
      <formula>0</formula>
    </cfRule>
  </conditionalFormatting>
  <conditionalFormatting sqref="H367">
    <cfRule type="cellIs" dxfId="4077" priority="859" operator="equal">
      <formula>0</formula>
    </cfRule>
  </conditionalFormatting>
  <conditionalFormatting sqref="H411">
    <cfRule type="cellIs" dxfId="4076" priority="860" operator="equal">
      <formula>0</formula>
    </cfRule>
  </conditionalFormatting>
  <conditionalFormatting sqref="H411">
    <cfRule type="cellIs" dxfId="4075" priority="861" operator="equal">
      <formula>0</formula>
    </cfRule>
  </conditionalFormatting>
  <conditionalFormatting sqref="H411">
    <cfRule type="cellIs" dxfId="4074" priority="862" operator="equal">
      <formula>0</formula>
    </cfRule>
  </conditionalFormatting>
  <conditionalFormatting sqref="H411">
    <cfRule type="cellIs" dxfId="4073" priority="863" operator="equal">
      <formula>0</formula>
    </cfRule>
  </conditionalFormatting>
  <conditionalFormatting sqref="H411">
    <cfRule type="cellIs" dxfId="4072" priority="864" operator="equal">
      <formula>0</formula>
    </cfRule>
  </conditionalFormatting>
  <conditionalFormatting sqref="H411">
    <cfRule type="cellIs" dxfId="4071" priority="865" operator="equal">
      <formula>0</formula>
    </cfRule>
  </conditionalFormatting>
  <conditionalFormatting sqref="H411">
    <cfRule type="cellIs" dxfId="4070" priority="866" operator="equal">
      <formula>0</formula>
    </cfRule>
  </conditionalFormatting>
  <conditionalFormatting sqref="H411">
    <cfRule type="cellIs" dxfId="4069" priority="867" operator="equal">
      <formula>0</formula>
    </cfRule>
  </conditionalFormatting>
  <conditionalFormatting sqref="H411">
    <cfRule type="cellIs" dxfId="4068" priority="868" operator="equal">
      <formula>0</formula>
    </cfRule>
  </conditionalFormatting>
  <conditionalFormatting sqref="H411">
    <cfRule type="cellIs" dxfId="4067" priority="869" operator="equal">
      <formula>0</formula>
    </cfRule>
  </conditionalFormatting>
  <conditionalFormatting sqref="H411">
    <cfRule type="cellIs" dxfId="4066" priority="870" operator="equal">
      <formula>0</formula>
    </cfRule>
  </conditionalFormatting>
  <conditionalFormatting sqref="H411">
    <cfRule type="cellIs" dxfId="4065" priority="871" operator="equal">
      <formula>0</formula>
    </cfRule>
  </conditionalFormatting>
  <conditionalFormatting sqref="H411">
    <cfRule type="cellIs" dxfId="4064" priority="872" operator="equal">
      <formula>0</formula>
    </cfRule>
  </conditionalFormatting>
  <conditionalFormatting sqref="H411">
    <cfRule type="cellIs" dxfId="4063" priority="873" operator="equal">
      <formula>0</formula>
    </cfRule>
  </conditionalFormatting>
  <conditionalFormatting sqref="H411">
    <cfRule type="cellIs" dxfId="4062" priority="874" operator="equal">
      <formula>0</formula>
    </cfRule>
  </conditionalFormatting>
  <conditionalFormatting sqref="H411">
    <cfRule type="cellIs" dxfId="4061" priority="875" operator="equal">
      <formula>0</formula>
    </cfRule>
  </conditionalFormatting>
  <conditionalFormatting sqref="H411">
    <cfRule type="cellIs" dxfId="4060" priority="876" operator="equal">
      <formula>0</formula>
    </cfRule>
  </conditionalFormatting>
  <conditionalFormatting sqref="H411">
    <cfRule type="cellIs" dxfId="4059" priority="877" operator="equal">
      <formula>0</formula>
    </cfRule>
  </conditionalFormatting>
  <conditionalFormatting sqref="H411">
    <cfRule type="cellIs" dxfId="4058" priority="878" operator="equal">
      <formula>0</formula>
    </cfRule>
  </conditionalFormatting>
  <conditionalFormatting sqref="H411">
    <cfRule type="cellIs" dxfId="4057" priority="879" operator="equal">
      <formula>0</formula>
    </cfRule>
  </conditionalFormatting>
  <conditionalFormatting sqref="H411">
    <cfRule type="cellIs" dxfId="4056" priority="880" operator="equal">
      <formula>0</formula>
    </cfRule>
  </conditionalFormatting>
  <conditionalFormatting sqref="H411">
    <cfRule type="cellIs" dxfId="4055" priority="881" operator="equal">
      <formula>0</formula>
    </cfRule>
  </conditionalFormatting>
  <conditionalFormatting sqref="H411">
    <cfRule type="cellIs" dxfId="4054" priority="882" operator="equal">
      <formula>0</formula>
    </cfRule>
  </conditionalFormatting>
  <conditionalFormatting sqref="H411">
    <cfRule type="cellIs" dxfId="4053" priority="883" operator="equal">
      <formula>0</formula>
    </cfRule>
  </conditionalFormatting>
  <conditionalFormatting sqref="H411">
    <cfRule type="cellIs" dxfId="4052" priority="884" operator="equal">
      <formula>0</formula>
    </cfRule>
  </conditionalFormatting>
  <conditionalFormatting sqref="H411">
    <cfRule type="cellIs" dxfId="4051" priority="885" operator="equal">
      <formula>0</formula>
    </cfRule>
  </conditionalFormatting>
  <conditionalFormatting sqref="H411">
    <cfRule type="cellIs" dxfId="4050" priority="886" operator="equal">
      <formula>0</formula>
    </cfRule>
  </conditionalFormatting>
  <conditionalFormatting sqref="H411">
    <cfRule type="cellIs" dxfId="4049" priority="887" operator="equal">
      <formula>0</formula>
    </cfRule>
  </conditionalFormatting>
  <conditionalFormatting sqref="H411">
    <cfRule type="cellIs" dxfId="4048" priority="888" operator="equal">
      <formula>0</formula>
    </cfRule>
  </conditionalFormatting>
  <conditionalFormatting sqref="H411">
    <cfRule type="cellIs" dxfId="4047" priority="889" operator="equal">
      <formula>0</formula>
    </cfRule>
  </conditionalFormatting>
  <conditionalFormatting sqref="H411">
    <cfRule type="cellIs" dxfId="4046" priority="890" operator="equal">
      <formula>0</formula>
    </cfRule>
  </conditionalFormatting>
  <conditionalFormatting sqref="H411">
    <cfRule type="cellIs" dxfId="4045" priority="891" operator="equal">
      <formula>0</formula>
    </cfRule>
  </conditionalFormatting>
  <conditionalFormatting sqref="H411">
    <cfRule type="cellIs" dxfId="4044" priority="892" operator="equal">
      <formula>0</formula>
    </cfRule>
  </conditionalFormatting>
  <conditionalFormatting sqref="H411">
    <cfRule type="cellIs" dxfId="4043" priority="893" operator="equal">
      <formula>0</formula>
    </cfRule>
  </conditionalFormatting>
  <conditionalFormatting sqref="H411">
    <cfRule type="cellIs" dxfId="4042" priority="894" operator="equal">
      <formula>0</formula>
    </cfRule>
  </conditionalFormatting>
  <conditionalFormatting sqref="H411">
    <cfRule type="cellIs" dxfId="4041" priority="895" operator="equal">
      <formula>0</formula>
    </cfRule>
  </conditionalFormatting>
  <conditionalFormatting sqref="H411">
    <cfRule type="cellIs" dxfId="4040" priority="896" operator="equal">
      <formula>0</formula>
    </cfRule>
  </conditionalFormatting>
  <conditionalFormatting sqref="H411">
    <cfRule type="cellIs" dxfId="4039" priority="897" operator="equal">
      <formula>0</formula>
    </cfRule>
  </conditionalFormatting>
  <conditionalFormatting sqref="H411">
    <cfRule type="cellIs" dxfId="4038" priority="898" operator="equal">
      <formula>0</formula>
    </cfRule>
  </conditionalFormatting>
  <conditionalFormatting sqref="H411">
    <cfRule type="cellIs" dxfId="4037" priority="899" operator="equal">
      <formula>0</formula>
    </cfRule>
  </conditionalFormatting>
  <conditionalFormatting sqref="H411">
    <cfRule type="cellIs" dxfId="4036" priority="900" operator="equal">
      <formula>0</formula>
    </cfRule>
  </conditionalFormatting>
  <conditionalFormatting sqref="H411">
    <cfRule type="cellIs" dxfId="4035" priority="901" operator="equal">
      <formula>0</formula>
    </cfRule>
  </conditionalFormatting>
  <conditionalFormatting sqref="H411">
    <cfRule type="cellIs" dxfId="4034" priority="902" operator="equal">
      <formula>0</formula>
    </cfRule>
  </conditionalFormatting>
  <conditionalFormatting sqref="H411">
    <cfRule type="cellIs" dxfId="4033" priority="903" operator="equal">
      <formula>0</formula>
    </cfRule>
  </conditionalFormatting>
  <conditionalFormatting sqref="H411">
    <cfRule type="cellIs" dxfId="4032" priority="904" operator="equal">
      <formula>0</formula>
    </cfRule>
  </conditionalFormatting>
  <conditionalFormatting sqref="H411">
    <cfRule type="cellIs" dxfId="4031" priority="905" operator="equal">
      <formula>0</formula>
    </cfRule>
  </conditionalFormatting>
  <conditionalFormatting sqref="H411">
    <cfRule type="cellIs" dxfId="4030" priority="906" operator="equal">
      <formula>0</formula>
    </cfRule>
  </conditionalFormatting>
  <conditionalFormatting sqref="H411">
    <cfRule type="cellIs" dxfId="4029" priority="907" operator="equal">
      <formula>0</formula>
    </cfRule>
  </conditionalFormatting>
  <conditionalFormatting sqref="H411">
    <cfRule type="cellIs" dxfId="4028" priority="908" operator="equal">
      <formula>0</formula>
    </cfRule>
  </conditionalFormatting>
  <conditionalFormatting sqref="H411">
    <cfRule type="cellIs" dxfId="4027" priority="909" operator="equal">
      <formula>0</formula>
    </cfRule>
  </conditionalFormatting>
  <conditionalFormatting sqref="H411">
    <cfRule type="cellIs" dxfId="4026" priority="910" operator="equal">
      <formula>0</formula>
    </cfRule>
  </conditionalFormatting>
  <conditionalFormatting sqref="H411">
    <cfRule type="cellIs" dxfId="4025" priority="911" operator="equal">
      <formula>0</formula>
    </cfRule>
  </conditionalFormatting>
  <conditionalFormatting sqref="H411">
    <cfRule type="cellIs" dxfId="4024" priority="912" operator="equal">
      <formula>0</formula>
    </cfRule>
  </conditionalFormatting>
  <conditionalFormatting sqref="H411">
    <cfRule type="cellIs" dxfId="4023" priority="913" operator="equal">
      <formula>0</formula>
    </cfRule>
  </conditionalFormatting>
  <conditionalFormatting sqref="H411">
    <cfRule type="cellIs" dxfId="4022" priority="914" operator="equal">
      <formula>0</formula>
    </cfRule>
  </conditionalFormatting>
  <conditionalFormatting sqref="H411">
    <cfRule type="cellIs" dxfId="4021" priority="915" operator="equal">
      <formula>0</formula>
    </cfRule>
  </conditionalFormatting>
  <conditionalFormatting sqref="H411">
    <cfRule type="cellIs" dxfId="4020" priority="916" operator="equal">
      <formula>0</formula>
    </cfRule>
  </conditionalFormatting>
  <conditionalFormatting sqref="H411">
    <cfRule type="cellIs" dxfId="4019" priority="917" operator="equal">
      <formula>0</formula>
    </cfRule>
  </conditionalFormatting>
  <conditionalFormatting sqref="H411">
    <cfRule type="cellIs" dxfId="4018" priority="918" operator="equal">
      <formula>0</formula>
    </cfRule>
  </conditionalFormatting>
  <conditionalFormatting sqref="H411">
    <cfRule type="cellIs" dxfId="4017" priority="919" operator="equal">
      <formula>0</formula>
    </cfRule>
  </conditionalFormatting>
  <conditionalFormatting sqref="H411">
    <cfRule type="cellIs" dxfId="4016" priority="920" operator="equal">
      <formula>0</formula>
    </cfRule>
  </conditionalFormatting>
  <conditionalFormatting sqref="H411">
    <cfRule type="cellIs" dxfId="4015" priority="921" operator="equal">
      <formula>0</formula>
    </cfRule>
  </conditionalFormatting>
  <conditionalFormatting sqref="H411">
    <cfRule type="cellIs" dxfId="4014" priority="922" operator="equal">
      <formula>0</formula>
    </cfRule>
  </conditionalFormatting>
  <conditionalFormatting sqref="H411">
    <cfRule type="cellIs" dxfId="4013" priority="923" operator="equal">
      <formula>0</formula>
    </cfRule>
  </conditionalFormatting>
  <conditionalFormatting sqref="H411">
    <cfRule type="cellIs" dxfId="4012" priority="924" operator="equal">
      <formula>0</formula>
    </cfRule>
  </conditionalFormatting>
  <conditionalFormatting sqref="H411">
    <cfRule type="cellIs" dxfId="4011" priority="925" operator="equal">
      <formula>0</formula>
    </cfRule>
  </conditionalFormatting>
  <conditionalFormatting sqref="H411">
    <cfRule type="cellIs" dxfId="4010" priority="926" operator="equal">
      <formula>0</formula>
    </cfRule>
  </conditionalFormatting>
  <conditionalFormatting sqref="H455">
    <cfRule type="cellIs" dxfId="4009" priority="927" operator="equal">
      <formula>0</formula>
    </cfRule>
  </conditionalFormatting>
  <conditionalFormatting sqref="H455">
    <cfRule type="cellIs" dxfId="4008" priority="928" operator="equal">
      <formula>0</formula>
    </cfRule>
  </conditionalFormatting>
  <conditionalFormatting sqref="H455">
    <cfRule type="cellIs" dxfId="4007" priority="929" operator="equal">
      <formula>0</formula>
    </cfRule>
  </conditionalFormatting>
  <conditionalFormatting sqref="H455">
    <cfRule type="cellIs" dxfId="4006" priority="930" operator="equal">
      <formula>0</formula>
    </cfRule>
  </conditionalFormatting>
  <conditionalFormatting sqref="H455">
    <cfRule type="cellIs" dxfId="4005" priority="931" operator="equal">
      <formula>0</formula>
    </cfRule>
  </conditionalFormatting>
  <conditionalFormatting sqref="H455">
    <cfRule type="cellIs" dxfId="4004" priority="932" operator="equal">
      <formula>0</formula>
    </cfRule>
  </conditionalFormatting>
  <conditionalFormatting sqref="H455">
    <cfRule type="cellIs" dxfId="4003" priority="933" operator="equal">
      <formula>0</formula>
    </cfRule>
  </conditionalFormatting>
  <conditionalFormatting sqref="H455">
    <cfRule type="cellIs" dxfId="4002" priority="934" operator="equal">
      <formula>0</formula>
    </cfRule>
  </conditionalFormatting>
  <conditionalFormatting sqref="H455">
    <cfRule type="cellIs" dxfId="4001" priority="935" operator="equal">
      <formula>0</formula>
    </cfRule>
  </conditionalFormatting>
  <conditionalFormatting sqref="H455">
    <cfRule type="cellIs" dxfId="4000" priority="936" operator="equal">
      <formula>0</formula>
    </cfRule>
  </conditionalFormatting>
  <conditionalFormatting sqref="H455">
    <cfRule type="cellIs" dxfId="3999" priority="937" operator="equal">
      <formula>0</formula>
    </cfRule>
  </conditionalFormatting>
  <conditionalFormatting sqref="H455">
    <cfRule type="cellIs" dxfId="3998" priority="938" operator="equal">
      <formula>0</formula>
    </cfRule>
  </conditionalFormatting>
  <conditionalFormatting sqref="H455">
    <cfRule type="cellIs" dxfId="3997" priority="939" operator="equal">
      <formula>0</formula>
    </cfRule>
  </conditionalFormatting>
  <conditionalFormatting sqref="H455">
    <cfRule type="cellIs" dxfId="3996" priority="940" operator="equal">
      <formula>0</formula>
    </cfRule>
  </conditionalFormatting>
  <conditionalFormatting sqref="H455">
    <cfRule type="cellIs" dxfId="3995" priority="941" operator="equal">
      <formula>0</formula>
    </cfRule>
  </conditionalFormatting>
  <conditionalFormatting sqref="H455">
    <cfRule type="cellIs" dxfId="3994" priority="942" operator="equal">
      <formula>0</formula>
    </cfRule>
  </conditionalFormatting>
  <conditionalFormatting sqref="H455">
    <cfRule type="cellIs" dxfId="3993" priority="943" operator="equal">
      <formula>0</formula>
    </cfRule>
  </conditionalFormatting>
  <conditionalFormatting sqref="H455">
    <cfRule type="cellIs" dxfId="3992" priority="944" operator="equal">
      <formula>0</formula>
    </cfRule>
  </conditionalFormatting>
  <conditionalFormatting sqref="H455">
    <cfRule type="cellIs" dxfId="3991" priority="945" operator="equal">
      <formula>0</formula>
    </cfRule>
  </conditionalFormatting>
  <conditionalFormatting sqref="H455">
    <cfRule type="cellIs" dxfId="3990" priority="946" operator="equal">
      <formula>0</formula>
    </cfRule>
  </conditionalFormatting>
  <conditionalFormatting sqref="H455">
    <cfRule type="cellIs" dxfId="3989" priority="947" operator="equal">
      <formula>0</formula>
    </cfRule>
  </conditionalFormatting>
  <conditionalFormatting sqref="H455">
    <cfRule type="cellIs" dxfId="3988" priority="948" operator="equal">
      <formula>0</formula>
    </cfRule>
  </conditionalFormatting>
  <conditionalFormatting sqref="H455">
    <cfRule type="cellIs" dxfId="3987" priority="949" operator="equal">
      <formula>0</formula>
    </cfRule>
  </conditionalFormatting>
  <conditionalFormatting sqref="H455">
    <cfRule type="cellIs" dxfId="3986" priority="950" operator="equal">
      <formula>0</formula>
    </cfRule>
  </conditionalFormatting>
  <conditionalFormatting sqref="H455">
    <cfRule type="cellIs" dxfId="3985" priority="951" operator="equal">
      <formula>0</formula>
    </cfRule>
  </conditionalFormatting>
  <conditionalFormatting sqref="H455">
    <cfRule type="cellIs" dxfId="3984" priority="952" operator="equal">
      <formula>0</formula>
    </cfRule>
  </conditionalFormatting>
  <conditionalFormatting sqref="H455">
    <cfRule type="cellIs" dxfId="3983" priority="953" operator="equal">
      <formula>0</formula>
    </cfRule>
  </conditionalFormatting>
  <conditionalFormatting sqref="H455">
    <cfRule type="cellIs" dxfId="3982" priority="954" operator="equal">
      <formula>0</formula>
    </cfRule>
  </conditionalFormatting>
  <conditionalFormatting sqref="H455">
    <cfRule type="cellIs" dxfId="3981" priority="955" operator="equal">
      <formula>0</formula>
    </cfRule>
  </conditionalFormatting>
  <conditionalFormatting sqref="H455">
    <cfRule type="cellIs" dxfId="3980" priority="956" operator="equal">
      <formula>0</formula>
    </cfRule>
  </conditionalFormatting>
  <conditionalFormatting sqref="H455">
    <cfRule type="cellIs" dxfId="3979" priority="957" operator="equal">
      <formula>0</formula>
    </cfRule>
  </conditionalFormatting>
  <conditionalFormatting sqref="H455">
    <cfRule type="cellIs" dxfId="3978" priority="958" operator="equal">
      <formula>0</formula>
    </cfRule>
  </conditionalFormatting>
  <conditionalFormatting sqref="H455">
    <cfRule type="cellIs" dxfId="3977" priority="959" operator="equal">
      <formula>0</formula>
    </cfRule>
  </conditionalFormatting>
  <conditionalFormatting sqref="H455">
    <cfRule type="cellIs" dxfId="3976" priority="960" operator="equal">
      <formula>0</formula>
    </cfRule>
  </conditionalFormatting>
  <conditionalFormatting sqref="H455">
    <cfRule type="cellIs" dxfId="3975" priority="961" operator="equal">
      <formula>0</formula>
    </cfRule>
  </conditionalFormatting>
  <conditionalFormatting sqref="H455">
    <cfRule type="cellIs" dxfId="3974" priority="962" operator="equal">
      <formula>0</formula>
    </cfRule>
  </conditionalFormatting>
  <conditionalFormatting sqref="H455">
    <cfRule type="cellIs" dxfId="3973" priority="963" operator="equal">
      <formula>0</formula>
    </cfRule>
  </conditionalFormatting>
  <conditionalFormatting sqref="H455">
    <cfRule type="cellIs" dxfId="3972" priority="964" operator="equal">
      <formula>0</formula>
    </cfRule>
  </conditionalFormatting>
  <conditionalFormatting sqref="H455">
    <cfRule type="cellIs" dxfId="3971" priority="965" operator="equal">
      <formula>0</formula>
    </cfRule>
  </conditionalFormatting>
  <conditionalFormatting sqref="H455">
    <cfRule type="cellIs" dxfId="3970" priority="966" operator="equal">
      <formula>0</formula>
    </cfRule>
  </conditionalFormatting>
  <conditionalFormatting sqref="H455">
    <cfRule type="cellIs" dxfId="3969" priority="967" operator="equal">
      <formula>0</formula>
    </cfRule>
  </conditionalFormatting>
  <conditionalFormatting sqref="H455">
    <cfRule type="cellIs" dxfId="3968" priority="968" operator="equal">
      <formula>0</formula>
    </cfRule>
  </conditionalFormatting>
  <conditionalFormatting sqref="H455">
    <cfRule type="cellIs" dxfId="3967" priority="969" operator="equal">
      <formula>0</formula>
    </cfRule>
  </conditionalFormatting>
  <conditionalFormatting sqref="H455">
    <cfRule type="cellIs" dxfId="3966" priority="970" operator="equal">
      <formula>0</formula>
    </cfRule>
  </conditionalFormatting>
  <conditionalFormatting sqref="H455">
    <cfRule type="cellIs" dxfId="3965" priority="971" operator="equal">
      <formula>0</formula>
    </cfRule>
  </conditionalFormatting>
  <conditionalFormatting sqref="H455">
    <cfRule type="cellIs" dxfId="3964" priority="972" operator="equal">
      <formula>0</formula>
    </cfRule>
  </conditionalFormatting>
  <conditionalFormatting sqref="H455">
    <cfRule type="cellIs" dxfId="3963" priority="973" operator="equal">
      <formula>0</formula>
    </cfRule>
  </conditionalFormatting>
  <conditionalFormatting sqref="H455">
    <cfRule type="cellIs" dxfId="3962" priority="974" operator="equal">
      <formula>0</formula>
    </cfRule>
  </conditionalFormatting>
  <conditionalFormatting sqref="H455">
    <cfRule type="cellIs" dxfId="3961" priority="975" operator="equal">
      <formula>0</formula>
    </cfRule>
  </conditionalFormatting>
  <conditionalFormatting sqref="H455">
    <cfRule type="cellIs" dxfId="3960" priority="976" operator="equal">
      <formula>0</formula>
    </cfRule>
  </conditionalFormatting>
  <conditionalFormatting sqref="H455">
    <cfRule type="cellIs" dxfId="3959" priority="977" operator="equal">
      <formula>0</formula>
    </cfRule>
  </conditionalFormatting>
  <conditionalFormatting sqref="H455">
    <cfRule type="cellIs" dxfId="3958" priority="978" operator="equal">
      <formula>0</formula>
    </cfRule>
  </conditionalFormatting>
  <conditionalFormatting sqref="H455">
    <cfRule type="cellIs" dxfId="3957" priority="979" operator="equal">
      <formula>0</formula>
    </cfRule>
  </conditionalFormatting>
  <conditionalFormatting sqref="H455">
    <cfRule type="cellIs" dxfId="3956" priority="980" operator="equal">
      <formula>0</formula>
    </cfRule>
  </conditionalFormatting>
  <conditionalFormatting sqref="H455">
    <cfRule type="cellIs" dxfId="3955" priority="981" operator="equal">
      <formula>0</formula>
    </cfRule>
  </conditionalFormatting>
  <conditionalFormatting sqref="H455">
    <cfRule type="cellIs" dxfId="3954" priority="982" operator="equal">
      <formula>0</formula>
    </cfRule>
  </conditionalFormatting>
  <conditionalFormatting sqref="H455">
    <cfRule type="cellIs" dxfId="3953" priority="983" operator="equal">
      <formula>0</formula>
    </cfRule>
  </conditionalFormatting>
  <conditionalFormatting sqref="H455">
    <cfRule type="cellIs" dxfId="3952" priority="984" operator="equal">
      <formula>0</formula>
    </cfRule>
  </conditionalFormatting>
  <conditionalFormatting sqref="H455">
    <cfRule type="cellIs" dxfId="3951" priority="985" operator="equal">
      <formula>0</formula>
    </cfRule>
  </conditionalFormatting>
  <conditionalFormatting sqref="H455">
    <cfRule type="cellIs" dxfId="3950" priority="986" operator="equal">
      <formula>0</formula>
    </cfRule>
  </conditionalFormatting>
  <conditionalFormatting sqref="H455">
    <cfRule type="cellIs" dxfId="3949" priority="987" operator="equal">
      <formula>0</formula>
    </cfRule>
  </conditionalFormatting>
  <conditionalFormatting sqref="H455">
    <cfRule type="cellIs" dxfId="3948" priority="988" operator="equal">
      <formula>0</formula>
    </cfRule>
  </conditionalFormatting>
  <conditionalFormatting sqref="H455">
    <cfRule type="cellIs" dxfId="3947" priority="989" operator="equal">
      <formula>0</formula>
    </cfRule>
  </conditionalFormatting>
  <conditionalFormatting sqref="H455">
    <cfRule type="cellIs" dxfId="3946" priority="990" operator="equal">
      <formula>0</formula>
    </cfRule>
  </conditionalFormatting>
  <conditionalFormatting sqref="H455">
    <cfRule type="cellIs" dxfId="3945" priority="991" operator="equal">
      <formula>0</formula>
    </cfRule>
  </conditionalFormatting>
  <conditionalFormatting sqref="H455">
    <cfRule type="cellIs" dxfId="3944" priority="992" operator="equal">
      <formula>0</formula>
    </cfRule>
  </conditionalFormatting>
  <conditionalFormatting sqref="H455">
    <cfRule type="cellIs" dxfId="3943" priority="993" operator="equal">
      <formula>0</formula>
    </cfRule>
  </conditionalFormatting>
  <conditionalFormatting sqref="H499">
    <cfRule type="cellIs" dxfId="3942" priority="994" operator="equal">
      <formula>0</formula>
    </cfRule>
  </conditionalFormatting>
  <conditionalFormatting sqref="H499">
    <cfRule type="cellIs" dxfId="3941" priority="995" operator="equal">
      <formula>0</formula>
    </cfRule>
  </conditionalFormatting>
  <conditionalFormatting sqref="H499">
    <cfRule type="cellIs" dxfId="3940" priority="996" operator="equal">
      <formula>0</formula>
    </cfRule>
  </conditionalFormatting>
  <conditionalFormatting sqref="H499">
    <cfRule type="cellIs" dxfId="3939" priority="997" operator="equal">
      <formula>0</formula>
    </cfRule>
  </conditionalFormatting>
  <conditionalFormatting sqref="H499">
    <cfRule type="cellIs" dxfId="3938" priority="998" operator="equal">
      <formula>0</formula>
    </cfRule>
  </conditionalFormatting>
  <conditionalFormatting sqref="H499">
    <cfRule type="cellIs" dxfId="3937" priority="999" operator="equal">
      <formula>0</formula>
    </cfRule>
  </conditionalFormatting>
  <conditionalFormatting sqref="H499">
    <cfRule type="cellIs" dxfId="3936" priority="1000" operator="equal">
      <formula>0</formula>
    </cfRule>
  </conditionalFormatting>
  <conditionalFormatting sqref="H499">
    <cfRule type="cellIs" dxfId="3935" priority="1001" operator="equal">
      <formula>0</formula>
    </cfRule>
  </conditionalFormatting>
  <conditionalFormatting sqref="H499">
    <cfRule type="cellIs" dxfId="3934" priority="1002" operator="equal">
      <formula>0</formula>
    </cfRule>
  </conditionalFormatting>
  <conditionalFormatting sqref="H499">
    <cfRule type="cellIs" dxfId="3933" priority="1003" operator="equal">
      <formula>0</formula>
    </cfRule>
  </conditionalFormatting>
  <conditionalFormatting sqref="H499">
    <cfRule type="cellIs" dxfId="3932" priority="1004" operator="equal">
      <formula>0</formula>
    </cfRule>
  </conditionalFormatting>
  <conditionalFormatting sqref="H499">
    <cfRule type="cellIs" dxfId="3931" priority="1005" operator="equal">
      <formula>0</formula>
    </cfRule>
  </conditionalFormatting>
  <conditionalFormatting sqref="H499">
    <cfRule type="cellIs" dxfId="3930" priority="1006" operator="equal">
      <formula>0</formula>
    </cfRule>
  </conditionalFormatting>
  <conditionalFormatting sqref="H499">
    <cfRule type="cellIs" dxfId="3929" priority="1007" operator="equal">
      <formula>0</formula>
    </cfRule>
  </conditionalFormatting>
  <conditionalFormatting sqref="H499">
    <cfRule type="cellIs" dxfId="3928" priority="1008" operator="equal">
      <formula>0</formula>
    </cfRule>
  </conditionalFormatting>
  <conditionalFormatting sqref="H499">
    <cfRule type="cellIs" dxfId="3927" priority="1009" operator="equal">
      <formula>0</formula>
    </cfRule>
  </conditionalFormatting>
  <conditionalFormatting sqref="H499">
    <cfRule type="cellIs" dxfId="3926" priority="1010" operator="equal">
      <formula>0</formula>
    </cfRule>
  </conditionalFormatting>
  <conditionalFormatting sqref="H499">
    <cfRule type="cellIs" dxfId="3925" priority="1011" operator="equal">
      <formula>0</formula>
    </cfRule>
  </conditionalFormatting>
  <conditionalFormatting sqref="H499">
    <cfRule type="cellIs" dxfId="3924" priority="1012" operator="equal">
      <formula>0</formula>
    </cfRule>
  </conditionalFormatting>
  <conditionalFormatting sqref="H499">
    <cfRule type="cellIs" dxfId="3923" priority="1013" operator="equal">
      <formula>0</formula>
    </cfRule>
  </conditionalFormatting>
  <conditionalFormatting sqref="H499">
    <cfRule type="cellIs" dxfId="3922" priority="1014" operator="equal">
      <formula>0</formula>
    </cfRule>
  </conditionalFormatting>
  <conditionalFormatting sqref="H499">
    <cfRule type="cellIs" dxfId="3921" priority="1015" operator="equal">
      <formula>0</formula>
    </cfRule>
  </conditionalFormatting>
  <conditionalFormatting sqref="H499">
    <cfRule type="cellIs" dxfId="3920" priority="1016" operator="equal">
      <formula>0</formula>
    </cfRule>
  </conditionalFormatting>
  <conditionalFormatting sqref="H499">
    <cfRule type="cellIs" dxfId="3919" priority="1017" operator="equal">
      <formula>0</formula>
    </cfRule>
  </conditionalFormatting>
  <conditionalFormatting sqref="H499">
    <cfRule type="cellIs" dxfId="3918" priority="1018" operator="equal">
      <formula>0</formula>
    </cfRule>
  </conditionalFormatting>
  <conditionalFormatting sqref="H499">
    <cfRule type="cellIs" dxfId="3917" priority="1019" operator="equal">
      <formula>0</formula>
    </cfRule>
  </conditionalFormatting>
  <conditionalFormatting sqref="H499">
    <cfRule type="cellIs" dxfId="3916" priority="1020" operator="equal">
      <formula>0</formula>
    </cfRule>
  </conditionalFormatting>
  <conditionalFormatting sqref="H499">
    <cfRule type="cellIs" dxfId="3915" priority="1021" operator="equal">
      <formula>0</formula>
    </cfRule>
  </conditionalFormatting>
  <conditionalFormatting sqref="H499">
    <cfRule type="cellIs" dxfId="3914" priority="1022" operator="equal">
      <formula>0</formula>
    </cfRule>
  </conditionalFormatting>
  <conditionalFormatting sqref="H499">
    <cfRule type="cellIs" dxfId="3913" priority="1023" operator="equal">
      <formula>0</formula>
    </cfRule>
  </conditionalFormatting>
  <conditionalFormatting sqref="H499">
    <cfRule type="cellIs" dxfId="3912" priority="1024" operator="equal">
      <formula>0</formula>
    </cfRule>
  </conditionalFormatting>
  <conditionalFormatting sqref="H499">
    <cfRule type="cellIs" dxfId="3911" priority="1025" operator="equal">
      <formula>0</formula>
    </cfRule>
  </conditionalFormatting>
  <conditionalFormatting sqref="H499">
    <cfRule type="cellIs" dxfId="3910" priority="1026" operator="equal">
      <formula>0</formula>
    </cfRule>
  </conditionalFormatting>
  <conditionalFormatting sqref="H499">
    <cfRule type="cellIs" dxfId="3909" priority="1027" operator="equal">
      <formula>0</formula>
    </cfRule>
  </conditionalFormatting>
  <conditionalFormatting sqref="H499">
    <cfRule type="cellIs" dxfId="3908" priority="1028" operator="equal">
      <formula>0</formula>
    </cfRule>
  </conditionalFormatting>
  <conditionalFormatting sqref="H499">
    <cfRule type="cellIs" dxfId="3907" priority="1029" operator="equal">
      <formula>0</formula>
    </cfRule>
  </conditionalFormatting>
  <conditionalFormatting sqref="H499">
    <cfRule type="cellIs" dxfId="3906" priority="1030" operator="equal">
      <formula>0</formula>
    </cfRule>
  </conditionalFormatting>
  <conditionalFormatting sqref="H499">
    <cfRule type="cellIs" dxfId="3905" priority="1031" operator="equal">
      <formula>0</formula>
    </cfRule>
  </conditionalFormatting>
  <conditionalFormatting sqref="H499">
    <cfRule type="cellIs" dxfId="3904" priority="1032" operator="equal">
      <formula>0</formula>
    </cfRule>
  </conditionalFormatting>
  <conditionalFormatting sqref="H499">
    <cfRule type="cellIs" dxfId="3903" priority="1033" operator="equal">
      <formula>0</formula>
    </cfRule>
  </conditionalFormatting>
  <conditionalFormatting sqref="H499">
    <cfRule type="cellIs" dxfId="3902" priority="1034" operator="equal">
      <formula>0</formula>
    </cfRule>
  </conditionalFormatting>
  <conditionalFormatting sqref="H499">
    <cfRule type="cellIs" dxfId="3901" priority="1035" operator="equal">
      <formula>0</formula>
    </cfRule>
  </conditionalFormatting>
  <conditionalFormatting sqref="H499">
    <cfRule type="cellIs" dxfId="3900" priority="1036" operator="equal">
      <formula>0</formula>
    </cfRule>
  </conditionalFormatting>
  <conditionalFormatting sqref="H499">
    <cfRule type="cellIs" dxfId="3899" priority="1037" operator="equal">
      <formula>0</formula>
    </cfRule>
  </conditionalFormatting>
  <conditionalFormatting sqref="H499">
    <cfRule type="cellIs" dxfId="3898" priority="1038" operator="equal">
      <formula>0</formula>
    </cfRule>
  </conditionalFormatting>
  <conditionalFormatting sqref="H499">
    <cfRule type="cellIs" dxfId="3897" priority="1039" operator="equal">
      <formula>0</formula>
    </cfRule>
  </conditionalFormatting>
  <conditionalFormatting sqref="H499">
    <cfRule type="cellIs" dxfId="3896" priority="1040" operator="equal">
      <formula>0</formula>
    </cfRule>
  </conditionalFormatting>
  <conditionalFormatting sqref="H499">
    <cfRule type="cellIs" dxfId="3895" priority="1041" operator="equal">
      <formula>0</formula>
    </cfRule>
  </conditionalFormatting>
  <conditionalFormatting sqref="H499">
    <cfRule type="cellIs" dxfId="3894" priority="1042" operator="equal">
      <formula>0</formula>
    </cfRule>
  </conditionalFormatting>
  <conditionalFormatting sqref="H499">
    <cfRule type="cellIs" dxfId="3893" priority="1043" operator="equal">
      <formula>0</formula>
    </cfRule>
  </conditionalFormatting>
  <conditionalFormatting sqref="H499">
    <cfRule type="cellIs" dxfId="3892" priority="1044" operator="equal">
      <formula>0</formula>
    </cfRule>
  </conditionalFormatting>
  <conditionalFormatting sqref="H499">
    <cfRule type="cellIs" dxfId="3891" priority="1045" operator="equal">
      <formula>0</formula>
    </cfRule>
  </conditionalFormatting>
  <conditionalFormatting sqref="H499">
    <cfRule type="cellIs" dxfId="3890" priority="1046" operator="equal">
      <formula>0</formula>
    </cfRule>
  </conditionalFormatting>
  <conditionalFormatting sqref="H499">
    <cfRule type="cellIs" dxfId="3889" priority="1047" operator="equal">
      <formula>0</formula>
    </cfRule>
  </conditionalFormatting>
  <conditionalFormatting sqref="H499">
    <cfRule type="cellIs" dxfId="3888" priority="1048" operator="equal">
      <formula>0</formula>
    </cfRule>
  </conditionalFormatting>
  <conditionalFormatting sqref="H499">
    <cfRule type="cellIs" dxfId="3887" priority="1049" operator="equal">
      <formula>0</formula>
    </cfRule>
  </conditionalFormatting>
  <conditionalFormatting sqref="H499">
    <cfRule type="cellIs" dxfId="3886" priority="1050" operator="equal">
      <formula>0</formula>
    </cfRule>
  </conditionalFormatting>
  <conditionalFormatting sqref="H499">
    <cfRule type="cellIs" dxfId="3885" priority="1051" operator="equal">
      <formula>0</formula>
    </cfRule>
  </conditionalFormatting>
  <conditionalFormatting sqref="H499">
    <cfRule type="cellIs" dxfId="3884" priority="1052" operator="equal">
      <formula>0</formula>
    </cfRule>
  </conditionalFormatting>
  <conditionalFormatting sqref="H499">
    <cfRule type="cellIs" dxfId="3883" priority="1053" operator="equal">
      <formula>0</formula>
    </cfRule>
  </conditionalFormatting>
  <conditionalFormatting sqref="H499">
    <cfRule type="cellIs" dxfId="3882" priority="1054" operator="equal">
      <formula>0</formula>
    </cfRule>
  </conditionalFormatting>
  <conditionalFormatting sqref="H499">
    <cfRule type="cellIs" dxfId="3881" priority="1055" operator="equal">
      <formula>0</formula>
    </cfRule>
  </conditionalFormatting>
  <conditionalFormatting sqref="H499">
    <cfRule type="cellIs" dxfId="3880" priority="1056" operator="equal">
      <formula>0</formula>
    </cfRule>
  </conditionalFormatting>
  <conditionalFormatting sqref="H499">
    <cfRule type="cellIs" dxfId="3879" priority="1057" operator="equal">
      <formula>0</formula>
    </cfRule>
  </conditionalFormatting>
  <conditionalFormatting sqref="H499">
    <cfRule type="cellIs" dxfId="3878" priority="1058" operator="equal">
      <formula>0</formula>
    </cfRule>
  </conditionalFormatting>
  <conditionalFormatting sqref="H499">
    <cfRule type="cellIs" dxfId="3877" priority="1059" operator="equal">
      <formula>0</formula>
    </cfRule>
  </conditionalFormatting>
  <conditionalFormatting sqref="H499">
    <cfRule type="cellIs" dxfId="3876" priority="1060" operator="equal">
      <formula>0</formula>
    </cfRule>
  </conditionalFormatting>
  <conditionalFormatting sqref="H543">
    <cfRule type="cellIs" dxfId="3875" priority="1061" operator="equal">
      <formula>0</formula>
    </cfRule>
  </conditionalFormatting>
  <conditionalFormatting sqref="H543">
    <cfRule type="cellIs" dxfId="3874" priority="1062" operator="equal">
      <formula>0</formula>
    </cfRule>
  </conditionalFormatting>
  <conditionalFormatting sqref="H543">
    <cfRule type="cellIs" dxfId="3873" priority="1063" operator="equal">
      <formula>0</formula>
    </cfRule>
  </conditionalFormatting>
  <conditionalFormatting sqref="H543">
    <cfRule type="cellIs" dxfId="3872" priority="1064" operator="equal">
      <formula>0</formula>
    </cfRule>
  </conditionalFormatting>
  <conditionalFormatting sqref="H543">
    <cfRule type="cellIs" dxfId="3871" priority="1065" operator="equal">
      <formula>0</formula>
    </cfRule>
  </conditionalFormatting>
  <conditionalFormatting sqref="H543">
    <cfRule type="cellIs" dxfId="3870" priority="1066" operator="equal">
      <formula>0</formula>
    </cfRule>
  </conditionalFormatting>
  <conditionalFormatting sqref="H543">
    <cfRule type="cellIs" dxfId="3869" priority="1067" operator="equal">
      <formula>0</formula>
    </cfRule>
  </conditionalFormatting>
  <conditionalFormatting sqref="H543">
    <cfRule type="cellIs" dxfId="3868" priority="1068" operator="equal">
      <formula>0</formula>
    </cfRule>
  </conditionalFormatting>
  <conditionalFormatting sqref="H543">
    <cfRule type="cellIs" dxfId="3867" priority="1069" operator="equal">
      <formula>0</formula>
    </cfRule>
  </conditionalFormatting>
  <conditionalFormatting sqref="H543">
    <cfRule type="cellIs" dxfId="3866" priority="1070" operator="equal">
      <formula>0</formula>
    </cfRule>
  </conditionalFormatting>
  <conditionalFormatting sqref="H543">
    <cfRule type="cellIs" dxfId="3865" priority="1071" operator="equal">
      <formula>0</formula>
    </cfRule>
  </conditionalFormatting>
  <conditionalFormatting sqref="H543">
    <cfRule type="cellIs" dxfId="3864" priority="1072" operator="equal">
      <formula>0</formula>
    </cfRule>
  </conditionalFormatting>
  <conditionalFormatting sqref="H543">
    <cfRule type="cellIs" dxfId="3863" priority="1073" operator="equal">
      <formula>0</formula>
    </cfRule>
  </conditionalFormatting>
  <conditionalFormatting sqref="H543">
    <cfRule type="cellIs" dxfId="3862" priority="1074" operator="equal">
      <formula>0</formula>
    </cfRule>
  </conditionalFormatting>
  <conditionalFormatting sqref="H543">
    <cfRule type="cellIs" dxfId="3861" priority="1075" operator="equal">
      <formula>0</formula>
    </cfRule>
  </conditionalFormatting>
  <conditionalFormatting sqref="H543">
    <cfRule type="cellIs" dxfId="3860" priority="1076" operator="equal">
      <formula>0</formula>
    </cfRule>
  </conditionalFormatting>
  <conditionalFormatting sqref="H543">
    <cfRule type="cellIs" dxfId="3859" priority="1077" operator="equal">
      <formula>0</formula>
    </cfRule>
  </conditionalFormatting>
  <conditionalFormatting sqref="H543">
    <cfRule type="cellIs" dxfId="3858" priority="1078" operator="equal">
      <formula>0</formula>
    </cfRule>
  </conditionalFormatting>
  <conditionalFormatting sqref="H543">
    <cfRule type="cellIs" dxfId="3857" priority="1079" operator="equal">
      <formula>0</formula>
    </cfRule>
  </conditionalFormatting>
  <conditionalFormatting sqref="H543">
    <cfRule type="cellIs" dxfId="3856" priority="1080" operator="equal">
      <formula>0</formula>
    </cfRule>
  </conditionalFormatting>
  <conditionalFormatting sqref="H543">
    <cfRule type="cellIs" dxfId="3855" priority="1081" operator="equal">
      <formula>0</formula>
    </cfRule>
  </conditionalFormatting>
  <conditionalFormatting sqref="H543">
    <cfRule type="cellIs" dxfId="3854" priority="1082" operator="equal">
      <formula>0</formula>
    </cfRule>
  </conditionalFormatting>
  <conditionalFormatting sqref="H543">
    <cfRule type="cellIs" dxfId="3853" priority="1083" operator="equal">
      <formula>0</formula>
    </cfRule>
  </conditionalFormatting>
  <conditionalFormatting sqref="H543">
    <cfRule type="cellIs" dxfId="3852" priority="1084" operator="equal">
      <formula>0</formula>
    </cfRule>
  </conditionalFormatting>
  <conditionalFormatting sqref="H543">
    <cfRule type="cellIs" dxfId="3851" priority="1085" operator="equal">
      <formula>0</formula>
    </cfRule>
  </conditionalFormatting>
  <conditionalFormatting sqref="H543">
    <cfRule type="cellIs" dxfId="3850" priority="1086" operator="equal">
      <formula>0</formula>
    </cfRule>
  </conditionalFormatting>
  <conditionalFormatting sqref="H543">
    <cfRule type="cellIs" dxfId="3849" priority="1087" operator="equal">
      <formula>0</formula>
    </cfRule>
  </conditionalFormatting>
  <conditionalFormatting sqref="H543">
    <cfRule type="cellIs" dxfId="3848" priority="1088" operator="equal">
      <formula>0</formula>
    </cfRule>
  </conditionalFormatting>
  <conditionalFormatting sqref="H543">
    <cfRule type="cellIs" dxfId="3847" priority="1089" operator="equal">
      <formula>0</formula>
    </cfRule>
  </conditionalFormatting>
  <conditionalFormatting sqref="H543">
    <cfRule type="cellIs" dxfId="3846" priority="1090" operator="equal">
      <formula>0</formula>
    </cfRule>
  </conditionalFormatting>
  <conditionalFormatting sqref="H543">
    <cfRule type="cellIs" dxfId="3845" priority="1091" operator="equal">
      <formula>0</formula>
    </cfRule>
  </conditionalFormatting>
  <conditionalFormatting sqref="H543">
    <cfRule type="cellIs" dxfId="3844" priority="1092" operator="equal">
      <formula>0</formula>
    </cfRule>
  </conditionalFormatting>
  <conditionalFormatting sqref="H543">
    <cfRule type="cellIs" dxfId="3843" priority="1093" operator="equal">
      <formula>0</formula>
    </cfRule>
  </conditionalFormatting>
  <conditionalFormatting sqref="H543">
    <cfRule type="cellIs" dxfId="3842" priority="1094" operator="equal">
      <formula>0</formula>
    </cfRule>
  </conditionalFormatting>
  <conditionalFormatting sqref="H543">
    <cfRule type="cellIs" dxfId="3841" priority="1095" operator="equal">
      <formula>0</formula>
    </cfRule>
  </conditionalFormatting>
  <conditionalFormatting sqref="H543">
    <cfRule type="cellIs" dxfId="3840" priority="1096" operator="equal">
      <formula>0</formula>
    </cfRule>
  </conditionalFormatting>
  <conditionalFormatting sqref="H543">
    <cfRule type="cellIs" dxfId="3839" priority="1097" operator="equal">
      <formula>0</formula>
    </cfRule>
  </conditionalFormatting>
  <conditionalFormatting sqref="H543">
    <cfRule type="cellIs" dxfId="3838" priority="1098" operator="equal">
      <formula>0</formula>
    </cfRule>
  </conditionalFormatting>
  <conditionalFormatting sqref="H543">
    <cfRule type="cellIs" dxfId="3837" priority="1099" operator="equal">
      <formula>0</formula>
    </cfRule>
  </conditionalFormatting>
  <conditionalFormatting sqref="H543">
    <cfRule type="cellIs" dxfId="3836" priority="1100" operator="equal">
      <formula>0</formula>
    </cfRule>
  </conditionalFormatting>
  <conditionalFormatting sqref="H543">
    <cfRule type="cellIs" dxfId="3835" priority="1101" operator="equal">
      <formula>0</formula>
    </cfRule>
  </conditionalFormatting>
  <conditionalFormatting sqref="H543">
    <cfRule type="cellIs" dxfId="3834" priority="1102" operator="equal">
      <formula>0</formula>
    </cfRule>
  </conditionalFormatting>
  <conditionalFormatting sqref="H543">
    <cfRule type="cellIs" dxfId="3833" priority="1103" operator="equal">
      <formula>0</formula>
    </cfRule>
  </conditionalFormatting>
  <conditionalFormatting sqref="H543">
    <cfRule type="cellIs" dxfId="3832" priority="1104" operator="equal">
      <formula>0</formula>
    </cfRule>
  </conditionalFormatting>
  <conditionalFormatting sqref="H543">
    <cfRule type="cellIs" dxfId="3831" priority="1105" operator="equal">
      <formula>0</formula>
    </cfRule>
  </conditionalFormatting>
  <conditionalFormatting sqref="H543">
    <cfRule type="cellIs" dxfId="3830" priority="1106" operator="equal">
      <formula>0</formula>
    </cfRule>
  </conditionalFormatting>
  <conditionalFormatting sqref="H543">
    <cfRule type="cellIs" dxfId="3829" priority="1107" operator="equal">
      <formula>0</formula>
    </cfRule>
  </conditionalFormatting>
  <conditionalFormatting sqref="H543">
    <cfRule type="cellIs" dxfId="3828" priority="1108" operator="equal">
      <formula>0</formula>
    </cfRule>
  </conditionalFormatting>
  <conditionalFormatting sqref="H543">
    <cfRule type="cellIs" dxfId="3827" priority="1109" operator="equal">
      <formula>0</formula>
    </cfRule>
  </conditionalFormatting>
  <conditionalFormatting sqref="H543">
    <cfRule type="cellIs" dxfId="3826" priority="1110" operator="equal">
      <formula>0</formula>
    </cfRule>
  </conditionalFormatting>
  <conditionalFormatting sqref="H543">
    <cfRule type="cellIs" dxfId="3825" priority="1111" operator="equal">
      <formula>0</formula>
    </cfRule>
  </conditionalFormatting>
  <conditionalFormatting sqref="H543">
    <cfRule type="cellIs" dxfId="3824" priority="1112" operator="equal">
      <formula>0</formula>
    </cfRule>
  </conditionalFormatting>
  <conditionalFormatting sqref="H543">
    <cfRule type="cellIs" dxfId="3823" priority="1113" operator="equal">
      <formula>0</formula>
    </cfRule>
  </conditionalFormatting>
  <conditionalFormatting sqref="H543">
    <cfRule type="cellIs" dxfId="3822" priority="1114" operator="equal">
      <formula>0</formula>
    </cfRule>
  </conditionalFormatting>
  <conditionalFormatting sqref="H543">
    <cfRule type="cellIs" dxfId="3821" priority="1115" operator="equal">
      <formula>0</formula>
    </cfRule>
  </conditionalFormatting>
  <conditionalFormatting sqref="H543">
    <cfRule type="cellIs" dxfId="3820" priority="1116" operator="equal">
      <formula>0</formula>
    </cfRule>
  </conditionalFormatting>
  <conditionalFormatting sqref="H543">
    <cfRule type="cellIs" dxfId="3819" priority="1117" operator="equal">
      <formula>0</formula>
    </cfRule>
  </conditionalFormatting>
  <conditionalFormatting sqref="H543">
    <cfRule type="cellIs" dxfId="3818" priority="1118" operator="equal">
      <formula>0</formula>
    </cfRule>
  </conditionalFormatting>
  <conditionalFormatting sqref="H543">
    <cfRule type="cellIs" dxfId="3817" priority="1119" operator="equal">
      <formula>0</formula>
    </cfRule>
  </conditionalFormatting>
  <conditionalFormatting sqref="H543">
    <cfRule type="cellIs" dxfId="3816" priority="1120" operator="equal">
      <formula>0</formula>
    </cfRule>
  </conditionalFormatting>
  <conditionalFormatting sqref="H543">
    <cfRule type="cellIs" dxfId="3815" priority="1121" operator="equal">
      <formula>0</formula>
    </cfRule>
  </conditionalFormatting>
  <conditionalFormatting sqref="H543">
    <cfRule type="cellIs" dxfId="3814" priority="1122" operator="equal">
      <formula>0</formula>
    </cfRule>
  </conditionalFormatting>
  <conditionalFormatting sqref="H543">
    <cfRule type="cellIs" dxfId="3813" priority="1123" operator="equal">
      <formula>0</formula>
    </cfRule>
  </conditionalFormatting>
  <conditionalFormatting sqref="H543">
    <cfRule type="cellIs" dxfId="3812" priority="1124" operator="equal">
      <formula>0</formula>
    </cfRule>
  </conditionalFormatting>
  <conditionalFormatting sqref="H543">
    <cfRule type="cellIs" dxfId="3811" priority="1125" operator="equal">
      <formula>0</formula>
    </cfRule>
  </conditionalFormatting>
  <conditionalFormatting sqref="H543">
    <cfRule type="cellIs" dxfId="3810" priority="1126" operator="equal">
      <formula>0</formula>
    </cfRule>
  </conditionalFormatting>
  <conditionalFormatting sqref="H543">
    <cfRule type="cellIs" dxfId="3809" priority="1127" operator="equal">
      <formula>0</formula>
    </cfRule>
  </conditionalFormatting>
  <conditionalFormatting sqref="H587">
    <cfRule type="cellIs" dxfId="3808" priority="1128" operator="equal">
      <formula>0</formula>
    </cfRule>
  </conditionalFormatting>
  <conditionalFormatting sqref="H587">
    <cfRule type="cellIs" dxfId="3807" priority="1129" operator="equal">
      <formula>0</formula>
    </cfRule>
  </conditionalFormatting>
  <conditionalFormatting sqref="H587">
    <cfRule type="cellIs" dxfId="3806" priority="1130" operator="equal">
      <formula>0</formula>
    </cfRule>
  </conditionalFormatting>
  <conditionalFormatting sqref="H587">
    <cfRule type="cellIs" dxfId="3805" priority="1131" operator="equal">
      <formula>0</formula>
    </cfRule>
  </conditionalFormatting>
  <conditionalFormatting sqref="H587">
    <cfRule type="cellIs" dxfId="3804" priority="1132" operator="equal">
      <formula>0</formula>
    </cfRule>
  </conditionalFormatting>
  <conditionalFormatting sqref="H587">
    <cfRule type="cellIs" dxfId="3803" priority="1133" operator="equal">
      <formula>0</formula>
    </cfRule>
  </conditionalFormatting>
  <conditionalFormatting sqref="H587">
    <cfRule type="cellIs" dxfId="3802" priority="1134" operator="equal">
      <formula>0</formula>
    </cfRule>
  </conditionalFormatting>
  <conditionalFormatting sqref="H587">
    <cfRule type="cellIs" dxfId="3801" priority="1135" operator="equal">
      <formula>0</formula>
    </cfRule>
  </conditionalFormatting>
  <conditionalFormatting sqref="H587">
    <cfRule type="cellIs" dxfId="3800" priority="1136" operator="equal">
      <formula>0</formula>
    </cfRule>
  </conditionalFormatting>
  <conditionalFormatting sqref="H587">
    <cfRule type="cellIs" dxfId="3799" priority="1137" operator="equal">
      <formula>0</formula>
    </cfRule>
  </conditionalFormatting>
  <conditionalFormatting sqref="H587">
    <cfRule type="cellIs" dxfId="3798" priority="1138" operator="equal">
      <formula>0</formula>
    </cfRule>
  </conditionalFormatting>
  <conditionalFormatting sqref="H587">
    <cfRule type="cellIs" dxfId="3797" priority="1139" operator="equal">
      <formula>0</formula>
    </cfRule>
  </conditionalFormatting>
  <conditionalFormatting sqref="H587">
    <cfRule type="cellIs" dxfId="3796" priority="1140" operator="equal">
      <formula>0</formula>
    </cfRule>
  </conditionalFormatting>
  <conditionalFormatting sqref="H587">
    <cfRule type="cellIs" dxfId="3795" priority="1141" operator="equal">
      <formula>0</formula>
    </cfRule>
  </conditionalFormatting>
  <conditionalFormatting sqref="H587">
    <cfRule type="cellIs" dxfId="3794" priority="1142" operator="equal">
      <formula>0</formula>
    </cfRule>
  </conditionalFormatting>
  <conditionalFormatting sqref="H587">
    <cfRule type="cellIs" dxfId="3793" priority="1143" operator="equal">
      <formula>0</formula>
    </cfRule>
  </conditionalFormatting>
  <conditionalFormatting sqref="H587">
    <cfRule type="cellIs" dxfId="3792" priority="1144" operator="equal">
      <formula>0</formula>
    </cfRule>
  </conditionalFormatting>
  <conditionalFormatting sqref="H587">
    <cfRule type="cellIs" dxfId="3791" priority="1145" operator="equal">
      <formula>0</formula>
    </cfRule>
  </conditionalFormatting>
  <conditionalFormatting sqref="H587">
    <cfRule type="cellIs" dxfId="3790" priority="1146" operator="equal">
      <formula>0</formula>
    </cfRule>
  </conditionalFormatting>
  <conditionalFormatting sqref="H587">
    <cfRule type="cellIs" dxfId="3789" priority="1147" operator="equal">
      <formula>0</formula>
    </cfRule>
  </conditionalFormatting>
  <conditionalFormatting sqref="H587">
    <cfRule type="cellIs" dxfId="3788" priority="1148" operator="equal">
      <formula>0</formula>
    </cfRule>
  </conditionalFormatting>
  <conditionalFormatting sqref="H587">
    <cfRule type="cellIs" dxfId="3787" priority="1149" operator="equal">
      <formula>0</formula>
    </cfRule>
  </conditionalFormatting>
  <conditionalFormatting sqref="H587">
    <cfRule type="cellIs" dxfId="3786" priority="1150" operator="equal">
      <formula>0</formula>
    </cfRule>
  </conditionalFormatting>
  <conditionalFormatting sqref="H587">
    <cfRule type="cellIs" dxfId="3785" priority="1151" operator="equal">
      <formula>0</formula>
    </cfRule>
  </conditionalFormatting>
  <conditionalFormatting sqref="H587">
    <cfRule type="cellIs" dxfId="3784" priority="1152" operator="equal">
      <formula>0</formula>
    </cfRule>
  </conditionalFormatting>
  <conditionalFormatting sqref="H587">
    <cfRule type="cellIs" dxfId="3783" priority="1153" operator="equal">
      <formula>0</formula>
    </cfRule>
  </conditionalFormatting>
  <conditionalFormatting sqref="H587">
    <cfRule type="cellIs" dxfId="3782" priority="1154" operator="equal">
      <formula>0</formula>
    </cfRule>
  </conditionalFormatting>
  <conditionalFormatting sqref="H587">
    <cfRule type="cellIs" dxfId="3781" priority="1155" operator="equal">
      <formula>0</formula>
    </cfRule>
  </conditionalFormatting>
  <conditionalFormatting sqref="H587">
    <cfRule type="cellIs" dxfId="3780" priority="1156" operator="equal">
      <formula>0</formula>
    </cfRule>
  </conditionalFormatting>
  <conditionalFormatting sqref="H587">
    <cfRule type="cellIs" dxfId="3779" priority="1157" operator="equal">
      <formula>0</formula>
    </cfRule>
  </conditionalFormatting>
  <conditionalFormatting sqref="H587">
    <cfRule type="cellIs" dxfId="3778" priority="1158" operator="equal">
      <formula>0</formula>
    </cfRule>
  </conditionalFormatting>
  <conditionalFormatting sqref="H587">
    <cfRule type="cellIs" dxfId="3777" priority="1159" operator="equal">
      <formula>0</formula>
    </cfRule>
  </conditionalFormatting>
  <conditionalFormatting sqref="H587">
    <cfRule type="cellIs" dxfId="3776" priority="1160" operator="equal">
      <formula>0</formula>
    </cfRule>
  </conditionalFormatting>
  <conditionalFormatting sqref="H587">
    <cfRule type="cellIs" dxfId="3775" priority="1161" operator="equal">
      <formula>0</formula>
    </cfRule>
  </conditionalFormatting>
  <conditionalFormatting sqref="H587">
    <cfRule type="cellIs" dxfId="3774" priority="1162" operator="equal">
      <formula>0</formula>
    </cfRule>
  </conditionalFormatting>
  <conditionalFormatting sqref="H587">
    <cfRule type="cellIs" dxfId="3773" priority="1163" operator="equal">
      <formula>0</formula>
    </cfRule>
  </conditionalFormatting>
  <conditionalFormatting sqref="H587">
    <cfRule type="cellIs" dxfId="3772" priority="1164" operator="equal">
      <formula>0</formula>
    </cfRule>
  </conditionalFormatting>
  <conditionalFormatting sqref="H587">
    <cfRule type="cellIs" dxfId="3771" priority="1165" operator="equal">
      <formula>0</formula>
    </cfRule>
  </conditionalFormatting>
  <conditionalFormatting sqref="H587">
    <cfRule type="cellIs" dxfId="3770" priority="1166" operator="equal">
      <formula>0</formula>
    </cfRule>
  </conditionalFormatting>
  <conditionalFormatting sqref="H587">
    <cfRule type="cellIs" dxfId="3769" priority="1167" operator="equal">
      <formula>0</formula>
    </cfRule>
  </conditionalFormatting>
  <conditionalFormatting sqref="H587">
    <cfRule type="cellIs" dxfId="3768" priority="1168" operator="equal">
      <formula>0</formula>
    </cfRule>
  </conditionalFormatting>
  <conditionalFormatting sqref="H587">
    <cfRule type="cellIs" dxfId="3767" priority="1169" operator="equal">
      <formula>0</formula>
    </cfRule>
  </conditionalFormatting>
  <conditionalFormatting sqref="H587">
    <cfRule type="cellIs" dxfId="3766" priority="1170" operator="equal">
      <formula>0</formula>
    </cfRule>
  </conditionalFormatting>
  <conditionalFormatting sqref="H587">
    <cfRule type="cellIs" dxfId="3765" priority="1171" operator="equal">
      <formula>0</formula>
    </cfRule>
  </conditionalFormatting>
  <conditionalFormatting sqref="H587">
    <cfRule type="cellIs" dxfId="3764" priority="1172" operator="equal">
      <formula>0</formula>
    </cfRule>
  </conditionalFormatting>
  <conditionalFormatting sqref="H587">
    <cfRule type="cellIs" dxfId="3763" priority="1173" operator="equal">
      <formula>0</formula>
    </cfRule>
  </conditionalFormatting>
  <conditionalFormatting sqref="H587">
    <cfRule type="cellIs" dxfId="3762" priority="1174" operator="equal">
      <formula>0</formula>
    </cfRule>
  </conditionalFormatting>
  <conditionalFormatting sqref="H587">
    <cfRule type="cellIs" dxfId="3761" priority="1175" operator="equal">
      <formula>0</formula>
    </cfRule>
  </conditionalFormatting>
  <conditionalFormatting sqref="H587">
    <cfRule type="cellIs" dxfId="3760" priority="1176" operator="equal">
      <formula>0</formula>
    </cfRule>
  </conditionalFormatting>
  <conditionalFormatting sqref="H587">
    <cfRule type="cellIs" dxfId="3759" priority="1177" operator="equal">
      <formula>0</formula>
    </cfRule>
  </conditionalFormatting>
  <conditionalFormatting sqref="H587">
    <cfRule type="cellIs" dxfId="3758" priority="1178" operator="equal">
      <formula>0</formula>
    </cfRule>
  </conditionalFormatting>
  <conditionalFormatting sqref="H587">
    <cfRule type="cellIs" dxfId="3757" priority="1179" operator="equal">
      <formula>0</formula>
    </cfRule>
  </conditionalFormatting>
  <conditionalFormatting sqref="H587">
    <cfRule type="cellIs" dxfId="3756" priority="1180" operator="equal">
      <formula>0</formula>
    </cfRule>
  </conditionalFormatting>
  <conditionalFormatting sqref="H587">
    <cfRule type="cellIs" dxfId="3755" priority="1181" operator="equal">
      <formula>0</formula>
    </cfRule>
  </conditionalFormatting>
  <conditionalFormatting sqref="H587">
    <cfRule type="cellIs" dxfId="3754" priority="1182" operator="equal">
      <formula>0</formula>
    </cfRule>
  </conditionalFormatting>
  <conditionalFormatting sqref="H587">
    <cfRule type="cellIs" dxfId="3753" priority="1183" operator="equal">
      <formula>0</formula>
    </cfRule>
  </conditionalFormatting>
  <conditionalFormatting sqref="H587">
    <cfRule type="cellIs" dxfId="3752" priority="1184" operator="equal">
      <formula>0</formula>
    </cfRule>
  </conditionalFormatting>
  <conditionalFormatting sqref="H587">
    <cfRule type="cellIs" dxfId="3751" priority="1185" operator="equal">
      <formula>0</formula>
    </cfRule>
  </conditionalFormatting>
  <conditionalFormatting sqref="H587">
    <cfRule type="cellIs" dxfId="3750" priority="1186" operator="equal">
      <formula>0</formula>
    </cfRule>
  </conditionalFormatting>
  <conditionalFormatting sqref="H587">
    <cfRule type="cellIs" dxfId="3749" priority="1187" operator="equal">
      <formula>0</formula>
    </cfRule>
  </conditionalFormatting>
  <conditionalFormatting sqref="H587">
    <cfRule type="cellIs" dxfId="3748" priority="1188" operator="equal">
      <formula>0</formula>
    </cfRule>
  </conditionalFormatting>
  <conditionalFormatting sqref="H587">
    <cfRule type="cellIs" dxfId="3747" priority="1189" operator="equal">
      <formula>0</formula>
    </cfRule>
  </conditionalFormatting>
  <conditionalFormatting sqref="H587">
    <cfRule type="cellIs" dxfId="3746" priority="1190" operator="equal">
      <formula>0</formula>
    </cfRule>
  </conditionalFormatting>
  <conditionalFormatting sqref="H587">
    <cfRule type="cellIs" dxfId="3745" priority="1191" operator="equal">
      <formula>0</formula>
    </cfRule>
  </conditionalFormatting>
  <conditionalFormatting sqref="H587">
    <cfRule type="cellIs" dxfId="3744" priority="1192" operator="equal">
      <formula>0</formula>
    </cfRule>
  </conditionalFormatting>
  <conditionalFormatting sqref="H587">
    <cfRule type="cellIs" dxfId="3743" priority="1193" operator="equal">
      <formula>0</formula>
    </cfRule>
  </conditionalFormatting>
  <conditionalFormatting sqref="H587">
    <cfRule type="cellIs" dxfId="3742" priority="1194" operator="equal">
      <formula>0</formula>
    </cfRule>
  </conditionalFormatting>
  <conditionalFormatting sqref="H631">
    <cfRule type="cellIs" dxfId="3741" priority="1195" operator="equal">
      <formula>0</formula>
    </cfRule>
  </conditionalFormatting>
  <conditionalFormatting sqref="H631">
    <cfRule type="cellIs" dxfId="3740" priority="1196" operator="equal">
      <formula>0</formula>
    </cfRule>
  </conditionalFormatting>
  <conditionalFormatting sqref="H631">
    <cfRule type="cellIs" dxfId="3739" priority="1197" operator="equal">
      <formula>0</formula>
    </cfRule>
  </conditionalFormatting>
  <conditionalFormatting sqref="H631">
    <cfRule type="cellIs" dxfId="3738" priority="1198" operator="equal">
      <formula>0</formula>
    </cfRule>
  </conditionalFormatting>
  <conditionalFormatting sqref="H631">
    <cfRule type="cellIs" dxfId="3737" priority="1199" operator="equal">
      <formula>0</formula>
    </cfRule>
  </conditionalFormatting>
  <conditionalFormatting sqref="H631">
    <cfRule type="cellIs" dxfId="3736" priority="1200" operator="equal">
      <formula>0</formula>
    </cfRule>
  </conditionalFormatting>
  <conditionalFormatting sqref="H631">
    <cfRule type="cellIs" dxfId="3735" priority="1201" operator="equal">
      <formula>0</formula>
    </cfRule>
  </conditionalFormatting>
  <conditionalFormatting sqref="H631">
    <cfRule type="cellIs" dxfId="3734" priority="1202" operator="equal">
      <formula>0</formula>
    </cfRule>
  </conditionalFormatting>
  <conditionalFormatting sqref="H631">
    <cfRule type="cellIs" dxfId="3733" priority="1203" operator="equal">
      <formula>0</formula>
    </cfRule>
  </conditionalFormatting>
  <conditionalFormatting sqref="H631">
    <cfRule type="cellIs" dxfId="3732" priority="1204" operator="equal">
      <formula>0</formula>
    </cfRule>
  </conditionalFormatting>
  <conditionalFormatting sqref="H631">
    <cfRule type="cellIs" dxfId="3731" priority="1205" operator="equal">
      <formula>0</formula>
    </cfRule>
  </conditionalFormatting>
  <conditionalFormatting sqref="H631">
    <cfRule type="cellIs" dxfId="3730" priority="1206" operator="equal">
      <formula>0</formula>
    </cfRule>
  </conditionalFormatting>
  <conditionalFormatting sqref="H631">
    <cfRule type="cellIs" dxfId="3729" priority="1207" operator="equal">
      <formula>0</formula>
    </cfRule>
  </conditionalFormatting>
  <conditionalFormatting sqref="H631">
    <cfRule type="cellIs" dxfId="3728" priority="1208" operator="equal">
      <formula>0</formula>
    </cfRule>
  </conditionalFormatting>
  <conditionalFormatting sqref="H631">
    <cfRule type="cellIs" dxfId="3727" priority="1209" operator="equal">
      <formula>0</formula>
    </cfRule>
  </conditionalFormatting>
  <conditionalFormatting sqref="H631">
    <cfRule type="cellIs" dxfId="3726" priority="1210" operator="equal">
      <formula>0</formula>
    </cfRule>
  </conditionalFormatting>
  <conditionalFormatting sqref="H631">
    <cfRule type="cellIs" dxfId="3725" priority="1211" operator="equal">
      <formula>0</formula>
    </cfRule>
  </conditionalFormatting>
  <conditionalFormatting sqref="H631">
    <cfRule type="cellIs" dxfId="3724" priority="1212" operator="equal">
      <formula>0</formula>
    </cfRule>
  </conditionalFormatting>
  <conditionalFormatting sqref="H631">
    <cfRule type="cellIs" dxfId="3723" priority="1213" operator="equal">
      <formula>0</formula>
    </cfRule>
  </conditionalFormatting>
  <conditionalFormatting sqref="H631">
    <cfRule type="cellIs" dxfId="3722" priority="1214" operator="equal">
      <formula>0</formula>
    </cfRule>
  </conditionalFormatting>
  <conditionalFormatting sqref="H631">
    <cfRule type="cellIs" dxfId="3721" priority="1215" operator="equal">
      <formula>0</formula>
    </cfRule>
  </conditionalFormatting>
  <conditionalFormatting sqref="H631">
    <cfRule type="cellIs" dxfId="3720" priority="1216" operator="equal">
      <formula>0</formula>
    </cfRule>
  </conditionalFormatting>
  <conditionalFormatting sqref="H631">
    <cfRule type="cellIs" dxfId="3719" priority="1217" operator="equal">
      <formula>0</formula>
    </cfRule>
  </conditionalFormatting>
  <conditionalFormatting sqref="H631">
    <cfRule type="cellIs" dxfId="3718" priority="1218" operator="equal">
      <formula>0</formula>
    </cfRule>
  </conditionalFormatting>
  <conditionalFormatting sqref="H631">
    <cfRule type="cellIs" dxfId="3717" priority="1219" operator="equal">
      <formula>0</formula>
    </cfRule>
  </conditionalFormatting>
  <conditionalFormatting sqref="H631">
    <cfRule type="cellIs" dxfId="3716" priority="1220" operator="equal">
      <formula>0</formula>
    </cfRule>
  </conditionalFormatting>
  <conditionalFormatting sqref="H631">
    <cfRule type="cellIs" dxfId="3715" priority="1221" operator="equal">
      <formula>0</formula>
    </cfRule>
  </conditionalFormatting>
  <conditionalFormatting sqref="H631">
    <cfRule type="cellIs" dxfId="3714" priority="1222" operator="equal">
      <formula>0</formula>
    </cfRule>
  </conditionalFormatting>
  <conditionalFormatting sqref="H631">
    <cfRule type="cellIs" dxfId="3713" priority="1223" operator="equal">
      <formula>0</formula>
    </cfRule>
  </conditionalFormatting>
  <conditionalFormatting sqref="H631">
    <cfRule type="cellIs" dxfId="3712" priority="1224" operator="equal">
      <formula>0</formula>
    </cfRule>
  </conditionalFormatting>
  <conditionalFormatting sqref="H631">
    <cfRule type="cellIs" dxfId="3711" priority="1225" operator="equal">
      <formula>0</formula>
    </cfRule>
  </conditionalFormatting>
  <conditionalFormatting sqref="H631">
    <cfRule type="cellIs" dxfId="3710" priority="1226" operator="equal">
      <formula>0</formula>
    </cfRule>
  </conditionalFormatting>
  <conditionalFormatting sqref="H631">
    <cfRule type="cellIs" dxfId="3709" priority="1227" operator="equal">
      <formula>0</formula>
    </cfRule>
  </conditionalFormatting>
  <conditionalFormatting sqref="H631">
    <cfRule type="cellIs" dxfId="3708" priority="1228" operator="equal">
      <formula>0</formula>
    </cfRule>
  </conditionalFormatting>
  <conditionalFormatting sqref="H631">
    <cfRule type="cellIs" dxfId="3707" priority="1229" operator="equal">
      <formula>0</formula>
    </cfRule>
  </conditionalFormatting>
  <conditionalFormatting sqref="H631">
    <cfRule type="cellIs" dxfId="3706" priority="1230" operator="equal">
      <formula>0</formula>
    </cfRule>
  </conditionalFormatting>
  <conditionalFormatting sqref="H631">
    <cfRule type="cellIs" dxfId="3705" priority="1231" operator="equal">
      <formula>0</formula>
    </cfRule>
  </conditionalFormatting>
  <conditionalFormatting sqref="H631">
    <cfRule type="cellIs" dxfId="3704" priority="1232" operator="equal">
      <formula>0</formula>
    </cfRule>
  </conditionalFormatting>
  <conditionalFormatting sqref="H631">
    <cfRule type="cellIs" dxfId="3703" priority="1233" operator="equal">
      <formula>0</formula>
    </cfRule>
  </conditionalFormatting>
  <conditionalFormatting sqref="H631">
    <cfRule type="cellIs" dxfId="3702" priority="1234" operator="equal">
      <formula>0</formula>
    </cfRule>
  </conditionalFormatting>
  <conditionalFormatting sqref="H631">
    <cfRule type="cellIs" dxfId="3701" priority="1235" operator="equal">
      <formula>0</formula>
    </cfRule>
  </conditionalFormatting>
  <conditionalFormatting sqref="H631">
    <cfRule type="cellIs" dxfId="3700" priority="1236" operator="equal">
      <formula>0</formula>
    </cfRule>
  </conditionalFormatting>
  <conditionalFormatting sqref="H631">
    <cfRule type="cellIs" dxfId="3699" priority="1237" operator="equal">
      <formula>0</formula>
    </cfRule>
  </conditionalFormatting>
  <conditionalFormatting sqref="H631">
    <cfRule type="cellIs" dxfId="3698" priority="1238" operator="equal">
      <formula>0</formula>
    </cfRule>
  </conditionalFormatting>
  <conditionalFormatting sqref="H631">
    <cfRule type="cellIs" dxfId="3697" priority="1239" operator="equal">
      <formula>0</formula>
    </cfRule>
  </conditionalFormatting>
  <conditionalFormatting sqref="H631">
    <cfRule type="cellIs" dxfId="3696" priority="1240" operator="equal">
      <formula>0</formula>
    </cfRule>
  </conditionalFormatting>
  <conditionalFormatting sqref="H631">
    <cfRule type="cellIs" dxfId="3695" priority="1241" operator="equal">
      <formula>0</formula>
    </cfRule>
  </conditionalFormatting>
  <conditionalFormatting sqref="H631">
    <cfRule type="cellIs" dxfId="3694" priority="1242" operator="equal">
      <formula>0</formula>
    </cfRule>
  </conditionalFormatting>
  <conditionalFormatting sqref="H631">
    <cfRule type="cellIs" dxfId="3693" priority="1243" operator="equal">
      <formula>0</formula>
    </cfRule>
  </conditionalFormatting>
  <conditionalFormatting sqref="H631">
    <cfRule type="cellIs" dxfId="3692" priority="1244" operator="equal">
      <formula>0</formula>
    </cfRule>
  </conditionalFormatting>
  <conditionalFormatting sqref="H631">
    <cfRule type="cellIs" dxfId="3691" priority="1245" operator="equal">
      <formula>0</formula>
    </cfRule>
  </conditionalFormatting>
  <conditionalFormatting sqref="H631">
    <cfRule type="cellIs" dxfId="3690" priority="1246" operator="equal">
      <formula>0</formula>
    </cfRule>
  </conditionalFormatting>
  <conditionalFormatting sqref="H631">
    <cfRule type="cellIs" dxfId="3689" priority="1247" operator="equal">
      <formula>0</formula>
    </cfRule>
  </conditionalFormatting>
  <conditionalFormatting sqref="H631">
    <cfRule type="cellIs" dxfId="3688" priority="1248" operator="equal">
      <formula>0</formula>
    </cfRule>
  </conditionalFormatting>
  <conditionalFormatting sqref="H631">
    <cfRule type="cellIs" dxfId="3687" priority="1249" operator="equal">
      <formula>0</formula>
    </cfRule>
  </conditionalFormatting>
  <conditionalFormatting sqref="H631">
    <cfRule type="cellIs" dxfId="3686" priority="1250" operator="equal">
      <formula>0</formula>
    </cfRule>
  </conditionalFormatting>
  <conditionalFormatting sqref="H631">
    <cfRule type="cellIs" dxfId="3685" priority="1251" operator="equal">
      <formula>0</formula>
    </cfRule>
  </conditionalFormatting>
  <conditionalFormatting sqref="H631">
    <cfRule type="cellIs" dxfId="3684" priority="1252" operator="equal">
      <formula>0</formula>
    </cfRule>
  </conditionalFormatting>
  <conditionalFormatting sqref="H631">
    <cfRule type="cellIs" dxfId="3683" priority="1253" operator="equal">
      <formula>0</formula>
    </cfRule>
  </conditionalFormatting>
  <conditionalFormatting sqref="H631">
    <cfRule type="cellIs" dxfId="3682" priority="1254" operator="equal">
      <formula>0</formula>
    </cfRule>
  </conditionalFormatting>
  <conditionalFormatting sqref="H631">
    <cfRule type="cellIs" dxfId="3681" priority="1255" operator="equal">
      <formula>0</formula>
    </cfRule>
  </conditionalFormatting>
  <conditionalFormatting sqref="H631">
    <cfRule type="cellIs" dxfId="3680" priority="1256" operator="equal">
      <formula>0</formula>
    </cfRule>
  </conditionalFormatting>
  <conditionalFormatting sqref="H631">
    <cfRule type="cellIs" dxfId="3679" priority="1257" operator="equal">
      <formula>0</formula>
    </cfRule>
  </conditionalFormatting>
  <conditionalFormatting sqref="H631">
    <cfRule type="cellIs" dxfId="3678" priority="1258" operator="equal">
      <formula>0</formula>
    </cfRule>
  </conditionalFormatting>
  <conditionalFormatting sqref="H631">
    <cfRule type="cellIs" dxfId="3677" priority="1259" operator="equal">
      <formula>0</formula>
    </cfRule>
  </conditionalFormatting>
  <conditionalFormatting sqref="H631">
    <cfRule type="cellIs" dxfId="3676" priority="1260" operator="equal">
      <formula>0</formula>
    </cfRule>
  </conditionalFormatting>
  <conditionalFormatting sqref="H631">
    <cfRule type="cellIs" dxfId="3675" priority="1261" operator="equal">
      <formula>0</formula>
    </cfRule>
  </conditionalFormatting>
  <conditionalFormatting sqref="H675">
    <cfRule type="cellIs" dxfId="3674" priority="1262" operator="equal">
      <formula>0</formula>
    </cfRule>
  </conditionalFormatting>
  <conditionalFormatting sqref="H675">
    <cfRule type="cellIs" dxfId="3673" priority="1263" operator="equal">
      <formula>0</formula>
    </cfRule>
  </conditionalFormatting>
  <conditionalFormatting sqref="H675">
    <cfRule type="cellIs" dxfId="3672" priority="1264" operator="equal">
      <formula>0</formula>
    </cfRule>
  </conditionalFormatting>
  <conditionalFormatting sqref="H675">
    <cfRule type="cellIs" dxfId="3671" priority="1265" operator="equal">
      <formula>0</formula>
    </cfRule>
  </conditionalFormatting>
  <conditionalFormatting sqref="H675">
    <cfRule type="cellIs" dxfId="3670" priority="1266" operator="equal">
      <formula>0</formula>
    </cfRule>
  </conditionalFormatting>
  <conditionalFormatting sqref="H675">
    <cfRule type="cellIs" dxfId="3669" priority="1267" operator="equal">
      <formula>0</formula>
    </cfRule>
  </conditionalFormatting>
  <conditionalFormatting sqref="H675">
    <cfRule type="cellIs" dxfId="3668" priority="1268" operator="equal">
      <formula>0</formula>
    </cfRule>
  </conditionalFormatting>
  <conditionalFormatting sqref="H675">
    <cfRule type="cellIs" dxfId="3667" priority="1269" operator="equal">
      <formula>0</formula>
    </cfRule>
  </conditionalFormatting>
  <conditionalFormatting sqref="H675">
    <cfRule type="cellIs" dxfId="3666" priority="1270" operator="equal">
      <formula>0</formula>
    </cfRule>
  </conditionalFormatting>
  <conditionalFormatting sqref="H675">
    <cfRule type="cellIs" dxfId="3665" priority="1271" operator="equal">
      <formula>0</formula>
    </cfRule>
  </conditionalFormatting>
  <conditionalFormatting sqref="H675">
    <cfRule type="cellIs" dxfId="3664" priority="1272" operator="equal">
      <formula>0</formula>
    </cfRule>
  </conditionalFormatting>
  <conditionalFormatting sqref="H675">
    <cfRule type="cellIs" dxfId="3663" priority="1273" operator="equal">
      <formula>0</formula>
    </cfRule>
  </conditionalFormatting>
  <conditionalFormatting sqref="H675">
    <cfRule type="cellIs" dxfId="3662" priority="1274" operator="equal">
      <formula>0</formula>
    </cfRule>
  </conditionalFormatting>
  <conditionalFormatting sqref="H675">
    <cfRule type="cellIs" dxfId="3661" priority="1275" operator="equal">
      <formula>0</formula>
    </cfRule>
  </conditionalFormatting>
  <conditionalFormatting sqref="H675">
    <cfRule type="cellIs" dxfId="3660" priority="1276" operator="equal">
      <formula>0</formula>
    </cfRule>
  </conditionalFormatting>
  <conditionalFormatting sqref="H675">
    <cfRule type="cellIs" dxfId="3659" priority="1277" operator="equal">
      <formula>0</formula>
    </cfRule>
  </conditionalFormatting>
  <conditionalFormatting sqref="H675">
    <cfRule type="cellIs" dxfId="3658" priority="1278" operator="equal">
      <formula>0</formula>
    </cfRule>
  </conditionalFormatting>
  <conditionalFormatting sqref="H675">
    <cfRule type="cellIs" dxfId="3657" priority="1279" operator="equal">
      <formula>0</formula>
    </cfRule>
  </conditionalFormatting>
  <conditionalFormatting sqref="H675">
    <cfRule type="cellIs" dxfId="3656" priority="1280" operator="equal">
      <formula>0</formula>
    </cfRule>
  </conditionalFormatting>
  <conditionalFormatting sqref="H675">
    <cfRule type="cellIs" dxfId="3655" priority="1281" operator="equal">
      <formula>0</formula>
    </cfRule>
  </conditionalFormatting>
  <conditionalFormatting sqref="H675">
    <cfRule type="cellIs" dxfId="3654" priority="1282" operator="equal">
      <formula>0</formula>
    </cfRule>
  </conditionalFormatting>
  <conditionalFormatting sqref="H675">
    <cfRule type="cellIs" dxfId="3653" priority="1283" operator="equal">
      <formula>0</formula>
    </cfRule>
  </conditionalFormatting>
  <conditionalFormatting sqref="H675">
    <cfRule type="cellIs" dxfId="3652" priority="1284" operator="equal">
      <formula>0</formula>
    </cfRule>
  </conditionalFormatting>
  <conditionalFormatting sqref="H675">
    <cfRule type="cellIs" dxfId="3651" priority="1285" operator="equal">
      <formula>0</formula>
    </cfRule>
  </conditionalFormatting>
  <conditionalFormatting sqref="H675">
    <cfRule type="cellIs" dxfId="3650" priority="1286" operator="equal">
      <formula>0</formula>
    </cfRule>
  </conditionalFormatting>
  <conditionalFormatting sqref="H675">
    <cfRule type="cellIs" dxfId="3649" priority="1287" operator="equal">
      <formula>0</formula>
    </cfRule>
  </conditionalFormatting>
  <conditionalFormatting sqref="H675">
    <cfRule type="cellIs" dxfId="3648" priority="1288" operator="equal">
      <formula>0</formula>
    </cfRule>
  </conditionalFormatting>
  <conditionalFormatting sqref="H675">
    <cfRule type="cellIs" dxfId="3647" priority="1289" operator="equal">
      <formula>0</formula>
    </cfRule>
  </conditionalFormatting>
  <conditionalFormatting sqref="H675">
    <cfRule type="cellIs" dxfId="3646" priority="1290" operator="equal">
      <formula>0</formula>
    </cfRule>
  </conditionalFormatting>
  <conditionalFormatting sqref="H675">
    <cfRule type="cellIs" dxfId="3645" priority="1291" operator="equal">
      <formula>0</formula>
    </cfRule>
  </conditionalFormatting>
  <conditionalFormatting sqref="H675">
    <cfRule type="cellIs" dxfId="3644" priority="1292" operator="equal">
      <formula>0</formula>
    </cfRule>
  </conditionalFormatting>
  <conditionalFormatting sqref="H675">
    <cfRule type="cellIs" dxfId="3643" priority="1293" operator="equal">
      <formula>0</formula>
    </cfRule>
  </conditionalFormatting>
  <conditionalFormatting sqref="H675">
    <cfRule type="cellIs" dxfId="3642" priority="1294" operator="equal">
      <formula>0</formula>
    </cfRule>
  </conditionalFormatting>
  <conditionalFormatting sqref="H675">
    <cfRule type="cellIs" dxfId="3641" priority="1295" operator="equal">
      <formula>0</formula>
    </cfRule>
  </conditionalFormatting>
  <conditionalFormatting sqref="H675">
    <cfRule type="cellIs" dxfId="3640" priority="1296" operator="equal">
      <formula>0</formula>
    </cfRule>
  </conditionalFormatting>
  <conditionalFormatting sqref="H675">
    <cfRule type="cellIs" dxfId="3639" priority="1297" operator="equal">
      <formula>0</formula>
    </cfRule>
  </conditionalFormatting>
  <conditionalFormatting sqref="H675">
    <cfRule type="cellIs" dxfId="3638" priority="1298" operator="equal">
      <formula>0</formula>
    </cfRule>
  </conditionalFormatting>
  <conditionalFormatting sqref="H675">
    <cfRule type="cellIs" dxfId="3637" priority="1299" operator="equal">
      <formula>0</formula>
    </cfRule>
  </conditionalFormatting>
  <conditionalFormatting sqref="H675">
    <cfRule type="cellIs" dxfId="3636" priority="1300" operator="equal">
      <formula>0</formula>
    </cfRule>
  </conditionalFormatting>
  <conditionalFormatting sqref="H675">
    <cfRule type="cellIs" dxfId="3635" priority="1301" operator="equal">
      <formula>0</formula>
    </cfRule>
  </conditionalFormatting>
  <conditionalFormatting sqref="H675">
    <cfRule type="cellIs" dxfId="3634" priority="1302" operator="equal">
      <formula>0</formula>
    </cfRule>
  </conditionalFormatting>
  <conditionalFormatting sqref="H675">
    <cfRule type="cellIs" dxfId="3633" priority="1303" operator="equal">
      <formula>0</formula>
    </cfRule>
  </conditionalFormatting>
  <conditionalFormatting sqref="H675">
    <cfRule type="cellIs" dxfId="3632" priority="1304" operator="equal">
      <formula>0</formula>
    </cfRule>
  </conditionalFormatting>
  <conditionalFormatting sqref="H675">
    <cfRule type="cellIs" dxfId="3631" priority="1305" operator="equal">
      <formula>0</formula>
    </cfRule>
  </conditionalFormatting>
  <conditionalFormatting sqref="H675">
    <cfRule type="cellIs" dxfId="3630" priority="1306" operator="equal">
      <formula>0</formula>
    </cfRule>
  </conditionalFormatting>
  <conditionalFormatting sqref="H675">
    <cfRule type="cellIs" dxfId="3629" priority="1307" operator="equal">
      <formula>0</formula>
    </cfRule>
  </conditionalFormatting>
  <conditionalFormatting sqref="H675">
    <cfRule type="cellIs" dxfId="3628" priority="1308" operator="equal">
      <formula>0</formula>
    </cfRule>
  </conditionalFormatting>
  <conditionalFormatting sqref="H675">
    <cfRule type="cellIs" dxfId="3627" priority="1309" operator="equal">
      <formula>0</formula>
    </cfRule>
  </conditionalFormatting>
  <conditionalFormatting sqref="H675">
    <cfRule type="cellIs" dxfId="3626" priority="1310" operator="equal">
      <formula>0</formula>
    </cfRule>
  </conditionalFormatting>
  <conditionalFormatting sqref="H675">
    <cfRule type="cellIs" dxfId="3625" priority="1311" operator="equal">
      <formula>0</formula>
    </cfRule>
  </conditionalFormatting>
  <conditionalFormatting sqref="H675">
    <cfRule type="cellIs" dxfId="3624" priority="1312" operator="equal">
      <formula>0</formula>
    </cfRule>
  </conditionalFormatting>
  <conditionalFormatting sqref="H675">
    <cfRule type="cellIs" dxfId="3623" priority="1313" operator="equal">
      <formula>0</formula>
    </cfRule>
  </conditionalFormatting>
  <conditionalFormatting sqref="H675">
    <cfRule type="cellIs" dxfId="3622" priority="1314" operator="equal">
      <formula>0</formula>
    </cfRule>
  </conditionalFormatting>
  <conditionalFormatting sqref="H675">
    <cfRule type="cellIs" dxfId="3621" priority="1315" operator="equal">
      <formula>0</formula>
    </cfRule>
  </conditionalFormatting>
  <conditionalFormatting sqref="H675">
    <cfRule type="cellIs" dxfId="3620" priority="1316" operator="equal">
      <formula>0</formula>
    </cfRule>
  </conditionalFormatting>
  <conditionalFormatting sqref="H675">
    <cfRule type="cellIs" dxfId="3619" priority="1317" operator="equal">
      <formula>0</formula>
    </cfRule>
  </conditionalFormatting>
  <conditionalFormatting sqref="H675">
    <cfRule type="cellIs" dxfId="3618" priority="1318" operator="equal">
      <formula>0</formula>
    </cfRule>
  </conditionalFormatting>
  <conditionalFormatting sqref="H675">
    <cfRule type="cellIs" dxfId="3617" priority="1319" operator="equal">
      <formula>0</formula>
    </cfRule>
  </conditionalFormatting>
  <conditionalFormatting sqref="H675">
    <cfRule type="cellIs" dxfId="3616" priority="1320" operator="equal">
      <formula>0</formula>
    </cfRule>
  </conditionalFormatting>
  <conditionalFormatting sqref="H675">
    <cfRule type="cellIs" dxfId="3615" priority="1321" operator="equal">
      <formula>0</formula>
    </cfRule>
  </conditionalFormatting>
  <conditionalFormatting sqref="H675">
    <cfRule type="cellIs" dxfId="3614" priority="1322" operator="equal">
      <formula>0</formula>
    </cfRule>
  </conditionalFormatting>
  <conditionalFormatting sqref="H675">
    <cfRule type="cellIs" dxfId="3613" priority="1323" operator="equal">
      <formula>0</formula>
    </cfRule>
  </conditionalFormatting>
  <conditionalFormatting sqref="H675">
    <cfRule type="cellIs" dxfId="3612" priority="1324" operator="equal">
      <formula>0</formula>
    </cfRule>
  </conditionalFormatting>
  <conditionalFormatting sqref="H675">
    <cfRule type="cellIs" dxfId="3611" priority="1325" operator="equal">
      <formula>0</formula>
    </cfRule>
  </conditionalFormatting>
  <conditionalFormatting sqref="H675">
    <cfRule type="cellIs" dxfId="3610" priority="1326" operator="equal">
      <formula>0</formula>
    </cfRule>
  </conditionalFormatting>
  <conditionalFormatting sqref="H675">
    <cfRule type="cellIs" dxfId="3609" priority="1327" operator="equal">
      <formula>0</formula>
    </cfRule>
  </conditionalFormatting>
  <conditionalFormatting sqref="H675">
    <cfRule type="cellIs" dxfId="3608" priority="1328" operator="equal">
      <formula>0</formula>
    </cfRule>
  </conditionalFormatting>
  <conditionalFormatting sqref="H103">
    <cfRule type="cellIs" dxfId="3607" priority="1329" operator="equal">
      <formula>0</formula>
    </cfRule>
  </conditionalFormatting>
  <conditionalFormatting sqref="H103">
    <cfRule type="cellIs" dxfId="3606" priority="1330" operator="equal">
      <formula>0</formula>
    </cfRule>
  </conditionalFormatting>
  <conditionalFormatting sqref="H103">
    <cfRule type="cellIs" dxfId="3605" priority="1331" operator="equal">
      <formula>0</formula>
    </cfRule>
  </conditionalFormatting>
  <conditionalFormatting sqref="H103">
    <cfRule type="cellIs" dxfId="3604" priority="1332" operator="equal">
      <formula>0</formula>
    </cfRule>
  </conditionalFormatting>
  <conditionalFormatting sqref="H103">
    <cfRule type="cellIs" dxfId="3603" priority="1333" operator="equal">
      <formula>0</formula>
    </cfRule>
  </conditionalFormatting>
  <conditionalFormatting sqref="H103">
    <cfRule type="cellIs" dxfId="3602" priority="1334" operator="equal">
      <formula>0</formula>
    </cfRule>
  </conditionalFormatting>
  <conditionalFormatting sqref="H103">
    <cfRule type="cellIs" dxfId="3601" priority="1335" operator="equal">
      <formula>0</formula>
    </cfRule>
  </conditionalFormatting>
  <conditionalFormatting sqref="H103">
    <cfRule type="cellIs" dxfId="3600" priority="1336" operator="equal">
      <formula>0</formula>
    </cfRule>
  </conditionalFormatting>
  <conditionalFormatting sqref="H103">
    <cfRule type="cellIs" dxfId="3599" priority="1337" operator="equal">
      <formula>0</formula>
    </cfRule>
  </conditionalFormatting>
  <conditionalFormatting sqref="H103">
    <cfRule type="cellIs" dxfId="3598" priority="1338" operator="equal">
      <formula>0</formula>
    </cfRule>
  </conditionalFormatting>
  <conditionalFormatting sqref="H103">
    <cfRule type="cellIs" dxfId="3597" priority="1339" operator="equal">
      <formula>0</formula>
    </cfRule>
  </conditionalFormatting>
  <conditionalFormatting sqref="H103">
    <cfRule type="cellIs" dxfId="3596" priority="1340" operator="equal">
      <formula>0</formula>
    </cfRule>
  </conditionalFormatting>
  <conditionalFormatting sqref="H103">
    <cfRule type="cellIs" dxfId="3595" priority="1341" operator="equal">
      <formula>0</formula>
    </cfRule>
  </conditionalFormatting>
  <conditionalFormatting sqref="H103">
    <cfRule type="cellIs" dxfId="3594" priority="1342" operator="equal">
      <formula>0</formula>
    </cfRule>
  </conditionalFormatting>
  <conditionalFormatting sqref="H103">
    <cfRule type="cellIs" dxfId="3593" priority="1343" operator="equal">
      <formula>0</formula>
    </cfRule>
  </conditionalFormatting>
  <conditionalFormatting sqref="H103">
    <cfRule type="cellIs" dxfId="3592" priority="1344" operator="equal">
      <formula>0</formula>
    </cfRule>
  </conditionalFormatting>
  <conditionalFormatting sqref="H103">
    <cfRule type="cellIs" dxfId="3591" priority="1345" operator="equal">
      <formula>0</formula>
    </cfRule>
  </conditionalFormatting>
  <conditionalFormatting sqref="H103">
    <cfRule type="cellIs" dxfId="3590" priority="1346" operator="equal">
      <formula>0</formula>
    </cfRule>
  </conditionalFormatting>
  <conditionalFormatting sqref="H103">
    <cfRule type="cellIs" dxfId="3589" priority="1347" operator="equal">
      <formula>0</formula>
    </cfRule>
  </conditionalFormatting>
  <conditionalFormatting sqref="H103">
    <cfRule type="cellIs" dxfId="3588" priority="1348" operator="equal">
      <formula>0</formula>
    </cfRule>
  </conditionalFormatting>
  <conditionalFormatting sqref="H103">
    <cfRule type="cellIs" dxfId="3587" priority="1349" operator="equal">
      <formula>0</formula>
    </cfRule>
  </conditionalFormatting>
  <conditionalFormatting sqref="H103">
    <cfRule type="cellIs" dxfId="3586" priority="1350" operator="equal">
      <formula>0</formula>
    </cfRule>
  </conditionalFormatting>
  <conditionalFormatting sqref="H103">
    <cfRule type="cellIs" dxfId="3585" priority="1351" operator="equal">
      <formula>0</formula>
    </cfRule>
  </conditionalFormatting>
  <conditionalFormatting sqref="H103">
    <cfRule type="cellIs" dxfId="3584" priority="1352" operator="equal">
      <formula>0</formula>
    </cfRule>
  </conditionalFormatting>
  <conditionalFormatting sqref="H147">
    <cfRule type="cellIs" dxfId="3583" priority="1353" operator="equal">
      <formula>0</formula>
    </cfRule>
  </conditionalFormatting>
  <conditionalFormatting sqref="H147">
    <cfRule type="cellIs" dxfId="3582" priority="1354" operator="equal">
      <formula>0</formula>
    </cfRule>
  </conditionalFormatting>
  <conditionalFormatting sqref="H147">
    <cfRule type="cellIs" dxfId="3581" priority="1355" operator="equal">
      <formula>0</formula>
    </cfRule>
  </conditionalFormatting>
  <conditionalFormatting sqref="H147">
    <cfRule type="cellIs" dxfId="3580" priority="1356" operator="equal">
      <formula>0</formula>
    </cfRule>
  </conditionalFormatting>
  <conditionalFormatting sqref="H147">
    <cfRule type="cellIs" dxfId="3579" priority="1357" operator="equal">
      <formula>0</formula>
    </cfRule>
  </conditionalFormatting>
  <conditionalFormatting sqref="H147">
    <cfRule type="cellIs" dxfId="3578" priority="1358" operator="equal">
      <formula>0</formula>
    </cfRule>
  </conditionalFormatting>
  <conditionalFormatting sqref="H147">
    <cfRule type="cellIs" dxfId="3577" priority="1359" operator="equal">
      <formula>0</formula>
    </cfRule>
  </conditionalFormatting>
  <conditionalFormatting sqref="H147">
    <cfRule type="cellIs" dxfId="3576" priority="1360" operator="equal">
      <formula>0</formula>
    </cfRule>
  </conditionalFormatting>
  <conditionalFormatting sqref="H147">
    <cfRule type="cellIs" dxfId="3575" priority="1361" operator="equal">
      <formula>0</formula>
    </cfRule>
  </conditionalFormatting>
  <conditionalFormatting sqref="H147">
    <cfRule type="cellIs" dxfId="3574" priority="1362" operator="equal">
      <formula>0</formula>
    </cfRule>
  </conditionalFormatting>
  <conditionalFormatting sqref="H147">
    <cfRule type="cellIs" dxfId="3573" priority="1363" operator="equal">
      <formula>0</formula>
    </cfRule>
  </conditionalFormatting>
  <conditionalFormatting sqref="H147">
    <cfRule type="cellIs" dxfId="3572" priority="1364" operator="equal">
      <formula>0</formula>
    </cfRule>
  </conditionalFormatting>
  <conditionalFormatting sqref="H147">
    <cfRule type="cellIs" dxfId="3571" priority="1365" operator="equal">
      <formula>0</formula>
    </cfRule>
  </conditionalFormatting>
  <conditionalFormatting sqref="H147">
    <cfRule type="cellIs" dxfId="3570" priority="1366" operator="equal">
      <formula>0</formula>
    </cfRule>
  </conditionalFormatting>
  <conditionalFormatting sqref="H147">
    <cfRule type="cellIs" dxfId="3569" priority="1367" operator="equal">
      <formula>0</formula>
    </cfRule>
  </conditionalFormatting>
  <conditionalFormatting sqref="H147">
    <cfRule type="cellIs" dxfId="3568" priority="1368" operator="equal">
      <formula>0</formula>
    </cfRule>
  </conditionalFormatting>
  <conditionalFormatting sqref="H147">
    <cfRule type="cellIs" dxfId="3567" priority="1369" operator="equal">
      <formula>0</formula>
    </cfRule>
  </conditionalFormatting>
  <conditionalFormatting sqref="H147">
    <cfRule type="cellIs" dxfId="3566" priority="1370" operator="equal">
      <formula>0</formula>
    </cfRule>
  </conditionalFormatting>
  <conditionalFormatting sqref="H147">
    <cfRule type="cellIs" dxfId="3565" priority="1371" operator="equal">
      <formula>0</formula>
    </cfRule>
  </conditionalFormatting>
  <conditionalFormatting sqref="H147">
    <cfRule type="cellIs" dxfId="3564" priority="1372" operator="equal">
      <formula>0</formula>
    </cfRule>
  </conditionalFormatting>
  <conditionalFormatting sqref="H147">
    <cfRule type="cellIs" dxfId="3563" priority="1373" operator="equal">
      <formula>0</formula>
    </cfRule>
  </conditionalFormatting>
  <conditionalFormatting sqref="H147">
    <cfRule type="cellIs" dxfId="3562" priority="1374" operator="equal">
      <formula>0</formula>
    </cfRule>
  </conditionalFormatting>
  <conditionalFormatting sqref="H147">
    <cfRule type="cellIs" dxfId="3561" priority="1375" operator="equal">
      <formula>0</formula>
    </cfRule>
  </conditionalFormatting>
  <conditionalFormatting sqref="H147">
    <cfRule type="cellIs" dxfId="3560" priority="1376" operator="equal">
      <formula>0</formula>
    </cfRule>
  </conditionalFormatting>
  <conditionalFormatting sqref="H191">
    <cfRule type="cellIs" dxfId="3559" priority="1377" operator="equal">
      <formula>0</formula>
    </cfRule>
  </conditionalFormatting>
  <conditionalFormatting sqref="H191">
    <cfRule type="cellIs" dxfId="3558" priority="1378" operator="equal">
      <formula>0</formula>
    </cfRule>
  </conditionalFormatting>
  <conditionalFormatting sqref="H191">
    <cfRule type="cellIs" dxfId="3557" priority="1379" operator="equal">
      <formula>0</formula>
    </cfRule>
  </conditionalFormatting>
  <conditionalFormatting sqref="H191">
    <cfRule type="cellIs" dxfId="3556" priority="1380" operator="equal">
      <formula>0</formula>
    </cfRule>
  </conditionalFormatting>
  <conditionalFormatting sqref="H191">
    <cfRule type="cellIs" dxfId="3555" priority="1381" operator="equal">
      <formula>0</formula>
    </cfRule>
  </conditionalFormatting>
  <conditionalFormatting sqref="H191">
    <cfRule type="cellIs" dxfId="3554" priority="1382" operator="equal">
      <formula>0</formula>
    </cfRule>
  </conditionalFormatting>
  <conditionalFormatting sqref="H191">
    <cfRule type="cellIs" dxfId="3553" priority="1383" operator="equal">
      <formula>0</formula>
    </cfRule>
  </conditionalFormatting>
  <conditionalFormatting sqref="H191">
    <cfRule type="cellIs" dxfId="3552" priority="1384" operator="equal">
      <formula>0</formula>
    </cfRule>
  </conditionalFormatting>
  <conditionalFormatting sqref="H191">
    <cfRule type="cellIs" dxfId="3551" priority="1385" operator="equal">
      <formula>0</formula>
    </cfRule>
  </conditionalFormatting>
  <conditionalFormatting sqref="H191">
    <cfRule type="cellIs" dxfId="3550" priority="1386" operator="equal">
      <formula>0</formula>
    </cfRule>
  </conditionalFormatting>
  <conditionalFormatting sqref="H191">
    <cfRule type="cellIs" dxfId="3549" priority="1387" operator="equal">
      <formula>0</formula>
    </cfRule>
  </conditionalFormatting>
  <conditionalFormatting sqref="H191">
    <cfRule type="cellIs" dxfId="3548" priority="1388" operator="equal">
      <formula>0</formula>
    </cfRule>
  </conditionalFormatting>
  <conditionalFormatting sqref="H191">
    <cfRule type="cellIs" dxfId="3547" priority="1389" operator="equal">
      <formula>0</formula>
    </cfRule>
  </conditionalFormatting>
  <conditionalFormatting sqref="H191">
    <cfRule type="cellIs" dxfId="3546" priority="1390" operator="equal">
      <formula>0</formula>
    </cfRule>
  </conditionalFormatting>
  <conditionalFormatting sqref="H191">
    <cfRule type="cellIs" dxfId="3545" priority="1391" operator="equal">
      <formula>0</formula>
    </cfRule>
  </conditionalFormatting>
  <conditionalFormatting sqref="H191">
    <cfRule type="cellIs" dxfId="3544" priority="1392" operator="equal">
      <formula>0</formula>
    </cfRule>
  </conditionalFormatting>
  <conditionalFormatting sqref="H191">
    <cfRule type="cellIs" dxfId="3543" priority="1393" operator="equal">
      <formula>0</formula>
    </cfRule>
  </conditionalFormatting>
  <conditionalFormatting sqref="H191">
    <cfRule type="cellIs" dxfId="3542" priority="1394" operator="equal">
      <formula>0</formula>
    </cfRule>
  </conditionalFormatting>
  <conditionalFormatting sqref="H191">
    <cfRule type="cellIs" dxfId="3541" priority="1395" operator="equal">
      <formula>0</formula>
    </cfRule>
  </conditionalFormatting>
  <conditionalFormatting sqref="H191">
    <cfRule type="cellIs" dxfId="3540" priority="1396" operator="equal">
      <formula>0</formula>
    </cfRule>
  </conditionalFormatting>
  <conditionalFormatting sqref="H191">
    <cfRule type="cellIs" dxfId="3539" priority="1397" operator="equal">
      <formula>0</formula>
    </cfRule>
  </conditionalFormatting>
  <conditionalFormatting sqref="H191">
    <cfRule type="cellIs" dxfId="3538" priority="1398" operator="equal">
      <formula>0</formula>
    </cfRule>
  </conditionalFormatting>
  <conditionalFormatting sqref="H191">
    <cfRule type="cellIs" dxfId="3537" priority="1399" operator="equal">
      <formula>0</formula>
    </cfRule>
  </conditionalFormatting>
  <conditionalFormatting sqref="H191">
    <cfRule type="cellIs" dxfId="3536" priority="1400" operator="equal">
      <formula>0</formula>
    </cfRule>
  </conditionalFormatting>
  <conditionalFormatting sqref="H191">
    <cfRule type="cellIs" dxfId="3535" priority="1401" operator="equal">
      <formula>0</formula>
    </cfRule>
  </conditionalFormatting>
  <conditionalFormatting sqref="H191">
    <cfRule type="cellIs" dxfId="3534" priority="1402" operator="equal">
      <formula>0</formula>
    </cfRule>
  </conditionalFormatting>
  <conditionalFormatting sqref="H191">
    <cfRule type="cellIs" dxfId="3533" priority="1403" operator="equal">
      <formula>0</formula>
    </cfRule>
  </conditionalFormatting>
  <conditionalFormatting sqref="H191">
    <cfRule type="cellIs" dxfId="3532" priority="1404" operator="equal">
      <formula>0</formula>
    </cfRule>
  </conditionalFormatting>
  <conditionalFormatting sqref="H191">
    <cfRule type="cellIs" dxfId="3531" priority="1405" operator="equal">
      <formula>0</formula>
    </cfRule>
  </conditionalFormatting>
  <conditionalFormatting sqref="H191">
    <cfRule type="cellIs" dxfId="3530" priority="1406" operator="equal">
      <formula>0</formula>
    </cfRule>
  </conditionalFormatting>
  <conditionalFormatting sqref="H191">
    <cfRule type="cellIs" dxfId="3529" priority="1407" operator="equal">
      <formula>0</formula>
    </cfRule>
  </conditionalFormatting>
  <conditionalFormatting sqref="H191">
    <cfRule type="cellIs" dxfId="3528" priority="1408" operator="equal">
      <formula>0</formula>
    </cfRule>
  </conditionalFormatting>
  <conditionalFormatting sqref="H191">
    <cfRule type="cellIs" dxfId="3527" priority="1409" operator="equal">
      <formula>0</formula>
    </cfRule>
  </conditionalFormatting>
  <conditionalFormatting sqref="H191">
    <cfRule type="cellIs" dxfId="3526" priority="1410" operator="equal">
      <formula>0</formula>
    </cfRule>
  </conditionalFormatting>
  <conditionalFormatting sqref="H191">
    <cfRule type="cellIs" dxfId="3525" priority="1411" operator="equal">
      <formula>0</formula>
    </cfRule>
  </conditionalFormatting>
  <conditionalFormatting sqref="H191">
    <cfRule type="cellIs" dxfId="3524" priority="1412" operator="equal">
      <formula>0</formula>
    </cfRule>
  </conditionalFormatting>
  <conditionalFormatting sqref="H191">
    <cfRule type="cellIs" dxfId="3523" priority="1413" operator="equal">
      <formula>0</formula>
    </cfRule>
  </conditionalFormatting>
  <conditionalFormatting sqref="H191">
    <cfRule type="cellIs" dxfId="3522" priority="1414" operator="equal">
      <formula>0</formula>
    </cfRule>
  </conditionalFormatting>
  <conditionalFormatting sqref="H191">
    <cfRule type="cellIs" dxfId="3521" priority="1415" operator="equal">
      <formula>0</formula>
    </cfRule>
  </conditionalFormatting>
  <conditionalFormatting sqref="H191">
    <cfRule type="cellIs" dxfId="3520" priority="1416" operator="equal">
      <formula>0</formula>
    </cfRule>
  </conditionalFormatting>
  <conditionalFormatting sqref="H191">
    <cfRule type="cellIs" dxfId="3519" priority="1417" operator="equal">
      <formula>0</formula>
    </cfRule>
  </conditionalFormatting>
  <conditionalFormatting sqref="H191">
    <cfRule type="cellIs" dxfId="3518" priority="1418" operator="equal">
      <formula>0</formula>
    </cfRule>
  </conditionalFormatting>
  <conditionalFormatting sqref="H191">
    <cfRule type="cellIs" dxfId="3517" priority="1419" operator="equal">
      <formula>0</formula>
    </cfRule>
  </conditionalFormatting>
  <conditionalFormatting sqref="H191">
    <cfRule type="cellIs" dxfId="3516" priority="1420" operator="equal">
      <formula>0</formula>
    </cfRule>
  </conditionalFormatting>
  <conditionalFormatting sqref="H191">
    <cfRule type="cellIs" dxfId="3515" priority="1421" operator="equal">
      <formula>0</formula>
    </cfRule>
  </conditionalFormatting>
  <conditionalFormatting sqref="H191">
    <cfRule type="cellIs" dxfId="3514" priority="1422" operator="equal">
      <formula>0</formula>
    </cfRule>
  </conditionalFormatting>
  <conditionalFormatting sqref="H191">
    <cfRule type="cellIs" dxfId="3513" priority="1423" operator="equal">
      <formula>0</formula>
    </cfRule>
  </conditionalFormatting>
  <conditionalFormatting sqref="H191">
    <cfRule type="cellIs" dxfId="3512" priority="1424" operator="equal">
      <formula>0</formula>
    </cfRule>
  </conditionalFormatting>
  <conditionalFormatting sqref="H191">
    <cfRule type="cellIs" dxfId="3511" priority="1425" operator="equal">
      <formula>0</formula>
    </cfRule>
  </conditionalFormatting>
  <conditionalFormatting sqref="H191">
    <cfRule type="cellIs" dxfId="3510" priority="1426" operator="equal">
      <formula>0</formula>
    </cfRule>
  </conditionalFormatting>
  <conditionalFormatting sqref="H191">
    <cfRule type="cellIs" dxfId="3509" priority="1427" operator="equal">
      <formula>0</formula>
    </cfRule>
  </conditionalFormatting>
  <conditionalFormatting sqref="H191">
    <cfRule type="cellIs" dxfId="3508" priority="1428" operator="equal">
      <formula>0</formula>
    </cfRule>
  </conditionalFormatting>
  <conditionalFormatting sqref="H191">
    <cfRule type="cellIs" dxfId="3507" priority="1429" operator="equal">
      <formula>0</formula>
    </cfRule>
  </conditionalFormatting>
  <conditionalFormatting sqref="H191">
    <cfRule type="cellIs" dxfId="3506" priority="1430" operator="equal">
      <formula>0</formula>
    </cfRule>
  </conditionalFormatting>
  <conditionalFormatting sqref="H191">
    <cfRule type="cellIs" dxfId="3505" priority="1431" operator="equal">
      <formula>0</formula>
    </cfRule>
  </conditionalFormatting>
  <conditionalFormatting sqref="H191">
    <cfRule type="cellIs" dxfId="3504" priority="1432" operator="equal">
      <formula>0</formula>
    </cfRule>
  </conditionalFormatting>
  <conditionalFormatting sqref="H191">
    <cfRule type="cellIs" dxfId="3503" priority="1433" operator="equal">
      <formula>0</formula>
    </cfRule>
  </conditionalFormatting>
  <conditionalFormatting sqref="H191">
    <cfRule type="cellIs" dxfId="3502" priority="1434" operator="equal">
      <formula>0</formula>
    </cfRule>
  </conditionalFormatting>
  <conditionalFormatting sqref="H191">
    <cfRule type="cellIs" dxfId="3501" priority="1435" operator="equal">
      <formula>0</formula>
    </cfRule>
  </conditionalFormatting>
  <conditionalFormatting sqref="H191">
    <cfRule type="cellIs" dxfId="3500" priority="1436" operator="equal">
      <formula>0</formula>
    </cfRule>
  </conditionalFormatting>
  <conditionalFormatting sqref="H191">
    <cfRule type="cellIs" dxfId="3499" priority="1437" operator="equal">
      <formula>0</formula>
    </cfRule>
  </conditionalFormatting>
  <conditionalFormatting sqref="H191">
    <cfRule type="cellIs" dxfId="3498" priority="1438" operator="equal">
      <formula>0</formula>
    </cfRule>
  </conditionalFormatting>
  <conditionalFormatting sqref="H191">
    <cfRule type="cellIs" dxfId="3497" priority="1439" operator="equal">
      <formula>0</formula>
    </cfRule>
  </conditionalFormatting>
  <conditionalFormatting sqref="H191">
    <cfRule type="cellIs" dxfId="3496" priority="1440" operator="equal">
      <formula>0</formula>
    </cfRule>
  </conditionalFormatting>
  <conditionalFormatting sqref="H191">
    <cfRule type="cellIs" dxfId="3495" priority="1441" operator="equal">
      <formula>0</formula>
    </cfRule>
  </conditionalFormatting>
  <conditionalFormatting sqref="H191">
    <cfRule type="cellIs" dxfId="3494" priority="1442" operator="equal">
      <formula>0</formula>
    </cfRule>
  </conditionalFormatting>
  <conditionalFormatting sqref="H191">
    <cfRule type="cellIs" dxfId="3493" priority="1443" operator="equal">
      <formula>0</formula>
    </cfRule>
  </conditionalFormatting>
  <conditionalFormatting sqref="H191">
    <cfRule type="cellIs" dxfId="3492" priority="1444" operator="equal">
      <formula>0</formula>
    </cfRule>
  </conditionalFormatting>
  <conditionalFormatting sqref="H191">
    <cfRule type="cellIs" dxfId="3491" priority="1445" operator="equal">
      <formula>0</formula>
    </cfRule>
  </conditionalFormatting>
  <conditionalFormatting sqref="H191">
    <cfRule type="cellIs" dxfId="3490" priority="1446" operator="equal">
      <formula>0</formula>
    </cfRule>
  </conditionalFormatting>
  <conditionalFormatting sqref="H191">
    <cfRule type="cellIs" dxfId="3489" priority="1447" operator="equal">
      <formula>0</formula>
    </cfRule>
  </conditionalFormatting>
  <conditionalFormatting sqref="H191">
    <cfRule type="cellIs" dxfId="3488" priority="1448" operator="equal">
      <formula>0</formula>
    </cfRule>
  </conditionalFormatting>
  <conditionalFormatting sqref="H191">
    <cfRule type="cellIs" dxfId="3487" priority="1449" operator="equal">
      <formula>0</formula>
    </cfRule>
  </conditionalFormatting>
  <conditionalFormatting sqref="H191">
    <cfRule type="cellIs" dxfId="3486" priority="1450" operator="equal">
      <formula>0</formula>
    </cfRule>
  </conditionalFormatting>
  <conditionalFormatting sqref="H191">
    <cfRule type="cellIs" dxfId="3485" priority="1451" operator="equal">
      <formula>0</formula>
    </cfRule>
  </conditionalFormatting>
  <conditionalFormatting sqref="H191">
    <cfRule type="cellIs" dxfId="3484" priority="1452" operator="equal">
      <formula>0</formula>
    </cfRule>
  </conditionalFormatting>
  <conditionalFormatting sqref="H191">
    <cfRule type="cellIs" dxfId="3483" priority="1453" operator="equal">
      <formula>0</formula>
    </cfRule>
  </conditionalFormatting>
  <conditionalFormatting sqref="H191">
    <cfRule type="cellIs" dxfId="3482" priority="1454" operator="equal">
      <formula>0</formula>
    </cfRule>
  </conditionalFormatting>
  <conditionalFormatting sqref="H191">
    <cfRule type="cellIs" dxfId="3481" priority="1455" operator="equal">
      <formula>0</formula>
    </cfRule>
  </conditionalFormatting>
  <conditionalFormatting sqref="H191">
    <cfRule type="cellIs" dxfId="3480" priority="1456" operator="equal">
      <formula>0</formula>
    </cfRule>
  </conditionalFormatting>
  <conditionalFormatting sqref="H191">
    <cfRule type="cellIs" dxfId="3479" priority="1457" operator="equal">
      <formula>0</formula>
    </cfRule>
  </conditionalFormatting>
  <conditionalFormatting sqref="H191">
    <cfRule type="cellIs" dxfId="3478" priority="1458" operator="equal">
      <formula>0</formula>
    </cfRule>
  </conditionalFormatting>
  <conditionalFormatting sqref="H191">
    <cfRule type="cellIs" dxfId="3477" priority="1459" operator="equal">
      <formula>0</formula>
    </cfRule>
  </conditionalFormatting>
  <conditionalFormatting sqref="H191">
    <cfRule type="cellIs" dxfId="3476" priority="1460" operator="equal">
      <formula>0</formula>
    </cfRule>
  </conditionalFormatting>
  <conditionalFormatting sqref="H191">
    <cfRule type="cellIs" dxfId="3475" priority="1461" operator="equal">
      <formula>0</formula>
    </cfRule>
  </conditionalFormatting>
  <conditionalFormatting sqref="H191">
    <cfRule type="cellIs" dxfId="3474" priority="1462" operator="equal">
      <formula>0</formula>
    </cfRule>
  </conditionalFormatting>
  <conditionalFormatting sqref="H191">
    <cfRule type="cellIs" dxfId="3473" priority="1463" operator="equal">
      <formula>0</formula>
    </cfRule>
  </conditionalFormatting>
  <conditionalFormatting sqref="H191">
    <cfRule type="cellIs" dxfId="3472" priority="1464" operator="equal">
      <formula>0</formula>
    </cfRule>
  </conditionalFormatting>
  <conditionalFormatting sqref="H191">
    <cfRule type="cellIs" dxfId="3471" priority="1465" operator="equal">
      <formula>0</formula>
    </cfRule>
  </conditionalFormatting>
  <conditionalFormatting sqref="H191">
    <cfRule type="cellIs" dxfId="3470" priority="1466" operator="equal">
      <formula>0</formula>
    </cfRule>
  </conditionalFormatting>
  <conditionalFormatting sqref="H191">
    <cfRule type="cellIs" dxfId="3469" priority="1467" operator="equal">
      <formula>0</formula>
    </cfRule>
  </conditionalFormatting>
  <conditionalFormatting sqref="H235">
    <cfRule type="cellIs" dxfId="3468" priority="1468" operator="equal">
      <formula>0</formula>
    </cfRule>
  </conditionalFormatting>
  <conditionalFormatting sqref="H235">
    <cfRule type="cellIs" dxfId="3467" priority="1469" operator="equal">
      <formula>0</formula>
    </cfRule>
  </conditionalFormatting>
  <conditionalFormatting sqref="H235">
    <cfRule type="cellIs" dxfId="3466" priority="1470" operator="equal">
      <formula>0</formula>
    </cfRule>
  </conditionalFormatting>
  <conditionalFormatting sqref="H235">
    <cfRule type="cellIs" dxfId="3465" priority="1471" operator="equal">
      <formula>0</formula>
    </cfRule>
  </conditionalFormatting>
  <conditionalFormatting sqref="H235">
    <cfRule type="cellIs" dxfId="3464" priority="1472" operator="equal">
      <formula>0</formula>
    </cfRule>
  </conditionalFormatting>
  <conditionalFormatting sqref="H235">
    <cfRule type="cellIs" dxfId="3463" priority="1473" operator="equal">
      <formula>0</formula>
    </cfRule>
  </conditionalFormatting>
  <conditionalFormatting sqref="H235">
    <cfRule type="cellIs" dxfId="3462" priority="1474" operator="equal">
      <formula>0</formula>
    </cfRule>
  </conditionalFormatting>
  <conditionalFormatting sqref="H235">
    <cfRule type="cellIs" dxfId="3461" priority="1475" operator="equal">
      <formula>0</formula>
    </cfRule>
  </conditionalFormatting>
  <conditionalFormatting sqref="H235">
    <cfRule type="cellIs" dxfId="3460" priority="1476" operator="equal">
      <formula>0</formula>
    </cfRule>
  </conditionalFormatting>
  <conditionalFormatting sqref="H235">
    <cfRule type="cellIs" dxfId="3459" priority="1477" operator="equal">
      <formula>0</formula>
    </cfRule>
  </conditionalFormatting>
  <conditionalFormatting sqref="H235">
    <cfRule type="cellIs" dxfId="3458" priority="1478" operator="equal">
      <formula>0</formula>
    </cfRule>
  </conditionalFormatting>
  <conditionalFormatting sqref="H235">
    <cfRule type="cellIs" dxfId="3457" priority="1479" operator="equal">
      <formula>0</formula>
    </cfRule>
  </conditionalFormatting>
  <conditionalFormatting sqref="H235">
    <cfRule type="cellIs" dxfId="3456" priority="1480" operator="equal">
      <formula>0</formula>
    </cfRule>
  </conditionalFormatting>
  <conditionalFormatting sqref="H235">
    <cfRule type="cellIs" dxfId="3455" priority="1481" operator="equal">
      <formula>0</formula>
    </cfRule>
  </conditionalFormatting>
  <conditionalFormatting sqref="H235">
    <cfRule type="cellIs" dxfId="3454" priority="1482" operator="equal">
      <formula>0</formula>
    </cfRule>
  </conditionalFormatting>
  <conditionalFormatting sqref="H235">
    <cfRule type="cellIs" dxfId="3453" priority="1483" operator="equal">
      <formula>0</formula>
    </cfRule>
  </conditionalFormatting>
  <conditionalFormatting sqref="H235">
    <cfRule type="cellIs" dxfId="3452" priority="1484" operator="equal">
      <formula>0</formula>
    </cfRule>
  </conditionalFormatting>
  <conditionalFormatting sqref="H235">
    <cfRule type="cellIs" dxfId="3451" priority="1485" operator="equal">
      <formula>0</formula>
    </cfRule>
  </conditionalFormatting>
  <conditionalFormatting sqref="H235">
    <cfRule type="cellIs" dxfId="3450" priority="1486" operator="equal">
      <formula>0</formula>
    </cfRule>
  </conditionalFormatting>
  <conditionalFormatting sqref="H235">
    <cfRule type="cellIs" dxfId="3449" priority="1487" operator="equal">
      <formula>0</formula>
    </cfRule>
  </conditionalFormatting>
  <conditionalFormatting sqref="H235">
    <cfRule type="cellIs" dxfId="3448" priority="1488" operator="equal">
      <formula>0</formula>
    </cfRule>
  </conditionalFormatting>
  <conditionalFormatting sqref="H235">
    <cfRule type="cellIs" dxfId="3447" priority="1489" operator="equal">
      <formula>0</formula>
    </cfRule>
  </conditionalFormatting>
  <conditionalFormatting sqref="H235">
    <cfRule type="cellIs" dxfId="3446" priority="1490" operator="equal">
      <formula>0</formula>
    </cfRule>
  </conditionalFormatting>
  <conditionalFormatting sqref="H235">
    <cfRule type="cellIs" dxfId="3445" priority="1491" operator="equal">
      <formula>0</formula>
    </cfRule>
  </conditionalFormatting>
  <conditionalFormatting sqref="H235">
    <cfRule type="cellIs" dxfId="3444" priority="1492" operator="equal">
      <formula>0</formula>
    </cfRule>
  </conditionalFormatting>
  <conditionalFormatting sqref="H235">
    <cfRule type="cellIs" dxfId="3443" priority="1493" operator="equal">
      <formula>0</formula>
    </cfRule>
  </conditionalFormatting>
  <conditionalFormatting sqref="H235">
    <cfRule type="cellIs" dxfId="3442" priority="1494" operator="equal">
      <formula>0</formula>
    </cfRule>
  </conditionalFormatting>
  <conditionalFormatting sqref="H235">
    <cfRule type="cellIs" dxfId="3441" priority="1495" operator="equal">
      <formula>0</formula>
    </cfRule>
  </conditionalFormatting>
  <conditionalFormatting sqref="H235">
    <cfRule type="cellIs" dxfId="3440" priority="1496" operator="equal">
      <formula>0</formula>
    </cfRule>
  </conditionalFormatting>
  <conditionalFormatting sqref="H235">
    <cfRule type="cellIs" dxfId="3439" priority="1497" operator="equal">
      <formula>0</formula>
    </cfRule>
  </conditionalFormatting>
  <conditionalFormatting sqref="H235">
    <cfRule type="cellIs" dxfId="3438" priority="1498" operator="equal">
      <formula>0</formula>
    </cfRule>
  </conditionalFormatting>
  <conditionalFormatting sqref="H235">
    <cfRule type="cellIs" dxfId="3437" priority="1499" operator="equal">
      <formula>0</formula>
    </cfRule>
  </conditionalFormatting>
  <conditionalFormatting sqref="H235">
    <cfRule type="cellIs" dxfId="3436" priority="1500" operator="equal">
      <formula>0</formula>
    </cfRule>
  </conditionalFormatting>
  <conditionalFormatting sqref="H235">
    <cfRule type="cellIs" dxfId="3435" priority="1501" operator="equal">
      <formula>0</formula>
    </cfRule>
  </conditionalFormatting>
  <conditionalFormatting sqref="H235">
    <cfRule type="cellIs" dxfId="3434" priority="1502" operator="equal">
      <formula>0</formula>
    </cfRule>
  </conditionalFormatting>
  <conditionalFormatting sqref="H235">
    <cfRule type="cellIs" dxfId="3433" priority="1503" operator="equal">
      <formula>0</formula>
    </cfRule>
  </conditionalFormatting>
  <conditionalFormatting sqref="H235">
    <cfRule type="cellIs" dxfId="3432" priority="1504" operator="equal">
      <formula>0</formula>
    </cfRule>
  </conditionalFormatting>
  <conditionalFormatting sqref="H235">
    <cfRule type="cellIs" dxfId="3431" priority="1505" operator="equal">
      <formula>0</formula>
    </cfRule>
  </conditionalFormatting>
  <conditionalFormatting sqref="H235">
    <cfRule type="cellIs" dxfId="3430" priority="1506" operator="equal">
      <formula>0</formula>
    </cfRule>
  </conditionalFormatting>
  <conditionalFormatting sqref="H235">
    <cfRule type="cellIs" dxfId="3429" priority="1507" operator="equal">
      <formula>0</formula>
    </cfRule>
  </conditionalFormatting>
  <conditionalFormatting sqref="H235">
    <cfRule type="cellIs" dxfId="3428" priority="1508" operator="equal">
      <formula>0</formula>
    </cfRule>
  </conditionalFormatting>
  <conditionalFormatting sqref="H235">
    <cfRule type="cellIs" dxfId="3427" priority="1509" operator="equal">
      <formula>0</formula>
    </cfRule>
  </conditionalFormatting>
  <conditionalFormatting sqref="H235">
    <cfRule type="cellIs" dxfId="3426" priority="1510" operator="equal">
      <formula>0</formula>
    </cfRule>
  </conditionalFormatting>
  <conditionalFormatting sqref="H235">
    <cfRule type="cellIs" dxfId="3425" priority="1511" operator="equal">
      <formula>0</formula>
    </cfRule>
  </conditionalFormatting>
  <conditionalFormatting sqref="H235">
    <cfRule type="cellIs" dxfId="3424" priority="1512" operator="equal">
      <formula>0</formula>
    </cfRule>
  </conditionalFormatting>
  <conditionalFormatting sqref="H235">
    <cfRule type="cellIs" dxfId="3423" priority="1513" operator="equal">
      <formula>0</formula>
    </cfRule>
  </conditionalFormatting>
  <conditionalFormatting sqref="H235">
    <cfRule type="cellIs" dxfId="3422" priority="1514" operator="equal">
      <formula>0</formula>
    </cfRule>
  </conditionalFormatting>
  <conditionalFormatting sqref="H235">
    <cfRule type="cellIs" dxfId="3421" priority="1515" operator="equal">
      <formula>0</formula>
    </cfRule>
  </conditionalFormatting>
  <conditionalFormatting sqref="H235">
    <cfRule type="cellIs" dxfId="3420" priority="1516" operator="equal">
      <formula>0</formula>
    </cfRule>
  </conditionalFormatting>
  <conditionalFormatting sqref="H235">
    <cfRule type="cellIs" dxfId="3419" priority="1517" operator="equal">
      <formula>0</formula>
    </cfRule>
  </conditionalFormatting>
  <conditionalFormatting sqref="H235">
    <cfRule type="cellIs" dxfId="3418" priority="1518" operator="equal">
      <formula>0</formula>
    </cfRule>
  </conditionalFormatting>
  <conditionalFormatting sqref="H235">
    <cfRule type="cellIs" dxfId="3417" priority="1519" operator="equal">
      <formula>0</formula>
    </cfRule>
  </conditionalFormatting>
  <conditionalFormatting sqref="H235">
    <cfRule type="cellIs" dxfId="3416" priority="1520" operator="equal">
      <formula>0</formula>
    </cfRule>
  </conditionalFormatting>
  <conditionalFormatting sqref="H235">
    <cfRule type="cellIs" dxfId="3415" priority="1521" operator="equal">
      <formula>0</formula>
    </cfRule>
  </conditionalFormatting>
  <conditionalFormatting sqref="H235">
    <cfRule type="cellIs" dxfId="3414" priority="1522" operator="equal">
      <formula>0</formula>
    </cfRule>
  </conditionalFormatting>
  <conditionalFormatting sqref="H235">
    <cfRule type="cellIs" dxfId="3413" priority="1523" operator="equal">
      <formula>0</formula>
    </cfRule>
  </conditionalFormatting>
  <conditionalFormatting sqref="H235">
    <cfRule type="cellIs" dxfId="3412" priority="1524" operator="equal">
      <formula>0</formula>
    </cfRule>
  </conditionalFormatting>
  <conditionalFormatting sqref="H235">
    <cfRule type="cellIs" dxfId="3411" priority="1525" operator="equal">
      <formula>0</formula>
    </cfRule>
  </conditionalFormatting>
  <conditionalFormatting sqref="H235">
    <cfRule type="cellIs" dxfId="3410" priority="1526" operator="equal">
      <formula>0</formula>
    </cfRule>
  </conditionalFormatting>
  <conditionalFormatting sqref="H235">
    <cfRule type="cellIs" dxfId="3409" priority="1527" operator="equal">
      <formula>0</formula>
    </cfRule>
  </conditionalFormatting>
  <conditionalFormatting sqref="H235">
    <cfRule type="cellIs" dxfId="3408" priority="1528" operator="equal">
      <formula>0</formula>
    </cfRule>
  </conditionalFormatting>
  <conditionalFormatting sqref="H235">
    <cfRule type="cellIs" dxfId="3407" priority="1529" operator="equal">
      <formula>0</formula>
    </cfRule>
  </conditionalFormatting>
  <conditionalFormatting sqref="H235">
    <cfRule type="cellIs" dxfId="3406" priority="1530" operator="equal">
      <formula>0</formula>
    </cfRule>
  </conditionalFormatting>
  <conditionalFormatting sqref="H235">
    <cfRule type="cellIs" dxfId="3405" priority="1531" operator="equal">
      <formula>0</formula>
    </cfRule>
  </conditionalFormatting>
  <conditionalFormatting sqref="H235">
    <cfRule type="cellIs" dxfId="3404" priority="1532" operator="equal">
      <formula>0</formula>
    </cfRule>
  </conditionalFormatting>
  <conditionalFormatting sqref="H235">
    <cfRule type="cellIs" dxfId="3403" priority="1533" operator="equal">
      <formula>0</formula>
    </cfRule>
  </conditionalFormatting>
  <conditionalFormatting sqref="H235">
    <cfRule type="cellIs" dxfId="3402" priority="1534" operator="equal">
      <formula>0</formula>
    </cfRule>
  </conditionalFormatting>
  <conditionalFormatting sqref="H235">
    <cfRule type="cellIs" dxfId="3401" priority="1535" operator="equal">
      <formula>0</formula>
    </cfRule>
  </conditionalFormatting>
  <conditionalFormatting sqref="H235">
    <cfRule type="cellIs" dxfId="3400" priority="1536" operator="equal">
      <formula>0</formula>
    </cfRule>
  </conditionalFormatting>
  <conditionalFormatting sqref="H235">
    <cfRule type="cellIs" dxfId="3399" priority="1537" operator="equal">
      <formula>0</formula>
    </cfRule>
  </conditionalFormatting>
  <conditionalFormatting sqref="H235">
    <cfRule type="cellIs" dxfId="3398" priority="1538" operator="equal">
      <formula>0</formula>
    </cfRule>
  </conditionalFormatting>
  <conditionalFormatting sqref="H235">
    <cfRule type="cellIs" dxfId="3397" priority="1539" operator="equal">
      <formula>0</formula>
    </cfRule>
  </conditionalFormatting>
  <conditionalFormatting sqref="H235">
    <cfRule type="cellIs" dxfId="3396" priority="1540" operator="equal">
      <formula>0</formula>
    </cfRule>
  </conditionalFormatting>
  <conditionalFormatting sqref="H235">
    <cfRule type="cellIs" dxfId="3395" priority="1541" operator="equal">
      <formula>0</formula>
    </cfRule>
  </conditionalFormatting>
  <conditionalFormatting sqref="H235">
    <cfRule type="cellIs" dxfId="3394" priority="1542" operator="equal">
      <formula>0</formula>
    </cfRule>
  </conditionalFormatting>
  <conditionalFormatting sqref="H235">
    <cfRule type="cellIs" dxfId="3393" priority="1543" operator="equal">
      <formula>0</formula>
    </cfRule>
  </conditionalFormatting>
  <conditionalFormatting sqref="H235">
    <cfRule type="cellIs" dxfId="3392" priority="1544" operator="equal">
      <formula>0</formula>
    </cfRule>
  </conditionalFormatting>
  <conditionalFormatting sqref="H235">
    <cfRule type="cellIs" dxfId="3391" priority="1545" operator="equal">
      <formula>0</formula>
    </cfRule>
  </conditionalFormatting>
  <conditionalFormatting sqref="H235">
    <cfRule type="cellIs" dxfId="3390" priority="1546" operator="equal">
      <formula>0</formula>
    </cfRule>
  </conditionalFormatting>
  <conditionalFormatting sqref="H235">
    <cfRule type="cellIs" dxfId="3389" priority="1547" operator="equal">
      <formula>0</formula>
    </cfRule>
  </conditionalFormatting>
  <conditionalFormatting sqref="H235">
    <cfRule type="cellIs" dxfId="3388" priority="1548" operator="equal">
      <formula>0</formula>
    </cfRule>
  </conditionalFormatting>
  <conditionalFormatting sqref="H235">
    <cfRule type="cellIs" dxfId="3387" priority="1549" operator="equal">
      <formula>0</formula>
    </cfRule>
  </conditionalFormatting>
  <conditionalFormatting sqref="H235">
    <cfRule type="cellIs" dxfId="3386" priority="1550" operator="equal">
      <formula>0</formula>
    </cfRule>
  </conditionalFormatting>
  <conditionalFormatting sqref="H235">
    <cfRule type="cellIs" dxfId="3385" priority="1551" operator="equal">
      <formula>0</formula>
    </cfRule>
  </conditionalFormatting>
  <conditionalFormatting sqref="H235">
    <cfRule type="cellIs" dxfId="3384" priority="1552" operator="equal">
      <formula>0</formula>
    </cfRule>
  </conditionalFormatting>
  <conditionalFormatting sqref="H235">
    <cfRule type="cellIs" dxfId="3383" priority="1553" operator="equal">
      <formula>0</formula>
    </cfRule>
  </conditionalFormatting>
  <conditionalFormatting sqref="H235">
    <cfRule type="cellIs" dxfId="3382" priority="1554" operator="equal">
      <formula>0</formula>
    </cfRule>
  </conditionalFormatting>
  <conditionalFormatting sqref="H235">
    <cfRule type="cellIs" dxfId="3381" priority="1555" operator="equal">
      <formula>0</formula>
    </cfRule>
  </conditionalFormatting>
  <conditionalFormatting sqref="H235">
    <cfRule type="cellIs" dxfId="3380" priority="1556" operator="equal">
      <formula>0</formula>
    </cfRule>
  </conditionalFormatting>
  <conditionalFormatting sqref="H235">
    <cfRule type="cellIs" dxfId="3379" priority="1557" operator="equal">
      <formula>0</formula>
    </cfRule>
  </conditionalFormatting>
  <conditionalFormatting sqref="H235">
    <cfRule type="cellIs" dxfId="3378" priority="1558" operator="equal">
      <formula>0</formula>
    </cfRule>
  </conditionalFormatting>
  <conditionalFormatting sqref="H279">
    <cfRule type="cellIs" dxfId="3377" priority="1559" operator="equal">
      <formula>0</formula>
    </cfRule>
  </conditionalFormatting>
  <conditionalFormatting sqref="H279">
    <cfRule type="cellIs" dxfId="3376" priority="1560" operator="equal">
      <formula>0</formula>
    </cfRule>
  </conditionalFormatting>
  <conditionalFormatting sqref="H279">
    <cfRule type="cellIs" dxfId="3375" priority="1561" operator="equal">
      <formula>0</formula>
    </cfRule>
  </conditionalFormatting>
  <conditionalFormatting sqref="H279">
    <cfRule type="cellIs" dxfId="3374" priority="1562" operator="equal">
      <formula>0</formula>
    </cfRule>
  </conditionalFormatting>
  <conditionalFormatting sqref="H279">
    <cfRule type="cellIs" dxfId="3373" priority="1563" operator="equal">
      <formula>0</formula>
    </cfRule>
  </conditionalFormatting>
  <conditionalFormatting sqref="H279">
    <cfRule type="cellIs" dxfId="3372" priority="1564" operator="equal">
      <formula>0</formula>
    </cfRule>
  </conditionalFormatting>
  <conditionalFormatting sqref="H279">
    <cfRule type="cellIs" dxfId="3371" priority="1565" operator="equal">
      <formula>0</formula>
    </cfRule>
  </conditionalFormatting>
  <conditionalFormatting sqref="H279">
    <cfRule type="cellIs" dxfId="3370" priority="1566" operator="equal">
      <formula>0</formula>
    </cfRule>
  </conditionalFormatting>
  <conditionalFormatting sqref="H279">
    <cfRule type="cellIs" dxfId="3369" priority="1567" operator="equal">
      <formula>0</formula>
    </cfRule>
  </conditionalFormatting>
  <conditionalFormatting sqref="H279">
    <cfRule type="cellIs" dxfId="3368" priority="1568" operator="equal">
      <formula>0</formula>
    </cfRule>
  </conditionalFormatting>
  <conditionalFormatting sqref="H279">
    <cfRule type="cellIs" dxfId="3367" priority="1569" operator="equal">
      <formula>0</formula>
    </cfRule>
  </conditionalFormatting>
  <conditionalFormatting sqref="H279">
    <cfRule type="cellIs" dxfId="3366" priority="1570" operator="equal">
      <formula>0</formula>
    </cfRule>
  </conditionalFormatting>
  <conditionalFormatting sqref="H279">
    <cfRule type="cellIs" dxfId="3365" priority="1571" operator="equal">
      <formula>0</formula>
    </cfRule>
  </conditionalFormatting>
  <conditionalFormatting sqref="H279">
    <cfRule type="cellIs" dxfId="3364" priority="1572" operator="equal">
      <formula>0</formula>
    </cfRule>
  </conditionalFormatting>
  <conditionalFormatting sqref="H279">
    <cfRule type="cellIs" dxfId="3363" priority="1573" operator="equal">
      <formula>0</formula>
    </cfRule>
  </conditionalFormatting>
  <conditionalFormatting sqref="H279">
    <cfRule type="cellIs" dxfId="3362" priority="1574" operator="equal">
      <formula>0</formula>
    </cfRule>
  </conditionalFormatting>
  <conditionalFormatting sqref="H279">
    <cfRule type="cellIs" dxfId="3361" priority="1575" operator="equal">
      <formula>0</formula>
    </cfRule>
  </conditionalFormatting>
  <conditionalFormatting sqref="H279">
    <cfRule type="cellIs" dxfId="3360" priority="1576" operator="equal">
      <formula>0</formula>
    </cfRule>
  </conditionalFormatting>
  <conditionalFormatting sqref="H279">
    <cfRule type="cellIs" dxfId="3359" priority="1577" operator="equal">
      <formula>0</formula>
    </cfRule>
  </conditionalFormatting>
  <conditionalFormatting sqref="H279">
    <cfRule type="cellIs" dxfId="3358" priority="1578" operator="equal">
      <formula>0</formula>
    </cfRule>
  </conditionalFormatting>
  <conditionalFormatting sqref="H279">
    <cfRule type="cellIs" dxfId="3357" priority="1579" operator="equal">
      <formula>0</formula>
    </cfRule>
  </conditionalFormatting>
  <conditionalFormatting sqref="H279">
    <cfRule type="cellIs" dxfId="3356" priority="1580" operator="equal">
      <formula>0</formula>
    </cfRule>
  </conditionalFormatting>
  <conditionalFormatting sqref="H279">
    <cfRule type="cellIs" dxfId="3355" priority="1581" operator="equal">
      <formula>0</formula>
    </cfRule>
  </conditionalFormatting>
  <conditionalFormatting sqref="H279">
    <cfRule type="cellIs" dxfId="3354" priority="1582" operator="equal">
      <formula>0</formula>
    </cfRule>
  </conditionalFormatting>
  <conditionalFormatting sqref="H279">
    <cfRule type="cellIs" dxfId="3353" priority="1583" operator="equal">
      <formula>0</formula>
    </cfRule>
  </conditionalFormatting>
  <conditionalFormatting sqref="H279">
    <cfRule type="cellIs" dxfId="3352" priority="1584" operator="equal">
      <formula>0</formula>
    </cfRule>
  </conditionalFormatting>
  <conditionalFormatting sqref="H279">
    <cfRule type="cellIs" dxfId="3351" priority="1585" operator="equal">
      <formula>0</formula>
    </cfRule>
  </conditionalFormatting>
  <conditionalFormatting sqref="H279">
    <cfRule type="cellIs" dxfId="3350" priority="1586" operator="equal">
      <formula>0</formula>
    </cfRule>
  </conditionalFormatting>
  <conditionalFormatting sqref="H279">
    <cfRule type="cellIs" dxfId="3349" priority="1587" operator="equal">
      <formula>0</formula>
    </cfRule>
  </conditionalFormatting>
  <conditionalFormatting sqref="H279">
    <cfRule type="cellIs" dxfId="3348" priority="1588" operator="equal">
      <formula>0</formula>
    </cfRule>
  </conditionalFormatting>
  <conditionalFormatting sqref="H279">
    <cfRule type="cellIs" dxfId="3347" priority="1589" operator="equal">
      <formula>0</formula>
    </cfRule>
  </conditionalFormatting>
  <conditionalFormatting sqref="H279">
    <cfRule type="cellIs" dxfId="3346" priority="1590" operator="equal">
      <formula>0</formula>
    </cfRule>
  </conditionalFormatting>
  <conditionalFormatting sqref="H279">
    <cfRule type="cellIs" dxfId="3345" priority="1591" operator="equal">
      <formula>0</formula>
    </cfRule>
  </conditionalFormatting>
  <conditionalFormatting sqref="H279">
    <cfRule type="cellIs" dxfId="3344" priority="1592" operator="equal">
      <formula>0</formula>
    </cfRule>
  </conditionalFormatting>
  <conditionalFormatting sqref="H279">
    <cfRule type="cellIs" dxfId="3343" priority="1593" operator="equal">
      <formula>0</formula>
    </cfRule>
  </conditionalFormatting>
  <conditionalFormatting sqref="H279">
    <cfRule type="cellIs" dxfId="3342" priority="1594" operator="equal">
      <formula>0</formula>
    </cfRule>
  </conditionalFormatting>
  <conditionalFormatting sqref="H279">
    <cfRule type="cellIs" dxfId="3341" priority="1595" operator="equal">
      <formula>0</formula>
    </cfRule>
  </conditionalFormatting>
  <conditionalFormatting sqref="H279">
    <cfRule type="cellIs" dxfId="3340" priority="1596" operator="equal">
      <formula>0</formula>
    </cfRule>
  </conditionalFormatting>
  <conditionalFormatting sqref="H279">
    <cfRule type="cellIs" dxfId="3339" priority="1597" operator="equal">
      <formula>0</formula>
    </cfRule>
  </conditionalFormatting>
  <conditionalFormatting sqref="H279">
    <cfRule type="cellIs" dxfId="3338" priority="1598" operator="equal">
      <formula>0</formula>
    </cfRule>
  </conditionalFormatting>
  <conditionalFormatting sqref="H279">
    <cfRule type="cellIs" dxfId="3337" priority="1599" operator="equal">
      <formula>0</formula>
    </cfRule>
  </conditionalFormatting>
  <conditionalFormatting sqref="H279">
    <cfRule type="cellIs" dxfId="3336" priority="1600" operator="equal">
      <formula>0</formula>
    </cfRule>
  </conditionalFormatting>
  <conditionalFormatting sqref="H279">
    <cfRule type="cellIs" dxfId="3335" priority="1601" operator="equal">
      <formula>0</formula>
    </cfRule>
  </conditionalFormatting>
  <conditionalFormatting sqref="H279">
    <cfRule type="cellIs" dxfId="3334" priority="1602" operator="equal">
      <formula>0</formula>
    </cfRule>
  </conditionalFormatting>
  <conditionalFormatting sqref="H279">
    <cfRule type="cellIs" dxfId="3333" priority="1603" operator="equal">
      <formula>0</formula>
    </cfRule>
  </conditionalFormatting>
  <conditionalFormatting sqref="H279">
    <cfRule type="cellIs" dxfId="3332" priority="1604" operator="equal">
      <formula>0</formula>
    </cfRule>
  </conditionalFormatting>
  <conditionalFormatting sqref="H279">
    <cfRule type="cellIs" dxfId="3331" priority="1605" operator="equal">
      <formula>0</formula>
    </cfRule>
  </conditionalFormatting>
  <conditionalFormatting sqref="H279">
    <cfRule type="cellIs" dxfId="3330" priority="1606" operator="equal">
      <formula>0</formula>
    </cfRule>
  </conditionalFormatting>
  <conditionalFormatting sqref="H279">
    <cfRule type="cellIs" dxfId="3329" priority="1607" operator="equal">
      <formula>0</formula>
    </cfRule>
  </conditionalFormatting>
  <conditionalFormatting sqref="H279">
    <cfRule type="cellIs" dxfId="3328" priority="1608" operator="equal">
      <formula>0</formula>
    </cfRule>
  </conditionalFormatting>
  <conditionalFormatting sqref="H279">
    <cfRule type="cellIs" dxfId="3327" priority="1609" operator="equal">
      <formula>0</formula>
    </cfRule>
  </conditionalFormatting>
  <conditionalFormatting sqref="H279">
    <cfRule type="cellIs" dxfId="3326" priority="1610" operator="equal">
      <formula>0</formula>
    </cfRule>
  </conditionalFormatting>
  <conditionalFormatting sqref="H279">
    <cfRule type="cellIs" dxfId="3325" priority="1611" operator="equal">
      <formula>0</formula>
    </cfRule>
  </conditionalFormatting>
  <conditionalFormatting sqref="H279">
    <cfRule type="cellIs" dxfId="3324" priority="1612" operator="equal">
      <formula>0</formula>
    </cfRule>
  </conditionalFormatting>
  <conditionalFormatting sqref="H279">
    <cfRule type="cellIs" dxfId="3323" priority="1613" operator="equal">
      <formula>0</formula>
    </cfRule>
  </conditionalFormatting>
  <conditionalFormatting sqref="H279">
    <cfRule type="cellIs" dxfId="3322" priority="1614" operator="equal">
      <formula>0</formula>
    </cfRule>
  </conditionalFormatting>
  <conditionalFormatting sqref="H279">
    <cfRule type="cellIs" dxfId="3321" priority="1615" operator="equal">
      <formula>0</formula>
    </cfRule>
  </conditionalFormatting>
  <conditionalFormatting sqref="H279">
    <cfRule type="cellIs" dxfId="3320" priority="1616" operator="equal">
      <formula>0</formula>
    </cfRule>
  </conditionalFormatting>
  <conditionalFormatting sqref="H279">
    <cfRule type="cellIs" dxfId="3319" priority="1617" operator="equal">
      <formula>0</formula>
    </cfRule>
  </conditionalFormatting>
  <conditionalFormatting sqref="H279">
    <cfRule type="cellIs" dxfId="3318" priority="1618" operator="equal">
      <formula>0</formula>
    </cfRule>
  </conditionalFormatting>
  <conditionalFormatting sqref="H279">
    <cfRule type="cellIs" dxfId="3317" priority="1619" operator="equal">
      <formula>0</formula>
    </cfRule>
  </conditionalFormatting>
  <conditionalFormatting sqref="H279">
    <cfRule type="cellIs" dxfId="3316" priority="1620" operator="equal">
      <formula>0</formula>
    </cfRule>
  </conditionalFormatting>
  <conditionalFormatting sqref="H279">
    <cfRule type="cellIs" dxfId="3315" priority="1621" operator="equal">
      <formula>0</formula>
    </cfRule>
  </conditionalFormatting>
  <conditionalFormatting sqref="H279">
    <cfRule type="cellIs" dxfId="3314" priority="1622" operator="equal">
      <formula>0</formula>
    </cfRule>
  </conditionalFormatting>
  <conditionalFormatting sqref="H279">
    <cfRule type="cellIs" dxfId="3313" priority="1623" operator="equal">
      <formula>0</formula>
    </cfRule>
  </conditionalFormatting>
  <conditionalFormatting sqref="H279">
    <cfRule type="cellIs" dxfId="3312" priority="1624" operator="equal">
      <formula>0</formula>
    </cfRule>
  </conditionalFormatting>
  <conditionalFormatting sqref="H279">
    <cfRule type="cellIs" dxfId="3311" priority="1625" operator="equal">
      <formula>0</formula>
    </cfRule>
  </conditionalFormatting>
  <conditionalFormatting sqref="H279">
    <cfRule type="cellIs" dxfId="3310" priority="1626" operator="equal">
      <formula>0</formula>
    </cfRule>
  </conditionalFormatting>
  <conditionalFormatting sqref="H279">
    <cfRule type="cellIs" dxfId="3309" priority="1627" operator="equal">
      <formula>0</formula>
    </cfRule>
  </conditionalFormatting>
  <conditionalFormatting sqref="H279">
    <cfRule type="cellIs" dxfId="3308" priority="1628" operator="equal">
      <formula>0</formula>
    </cfRule>
  </conditionalFormatting>
  <conditionalFormatting sqref="H279">
    <cfRule type="cellIs" dxfId="3307" priority="1629" operator="equal">
      <formula>0</formula>
    </cfRule>
  </conditionalFormatting>
  <conditionalFormatting sqref="H279">
    <cfRule type="cellIs" dxfId="3306" priority="1630" operator="equal">
      <formula>0</formula>
    </cfRule>
  </conditionalFormatting>
  <conditionalFormatting sqref="H279">
    <cfRule type="cellIs" dxfId="3305" priority="1631" operator="equal">
      <formula>0</formula>
    </cfRule>
  </conditionalFormatting>
  <conditionalFormatting sqref="H279">
    <cfRule type="cellIs" dxfId="3304" priority="1632" operator="equal">
      <formula>0</formula>
    </cfRule>
  </conditionalFormatting>
  <conditionalFormatting sqref="H279">
    <cfRule type="cellIs" dxfId="3303" priority="1633" operator="equal">
      <formula>0</formula>
    </cfRule>
  </conditionalFormatting>
  <conditionalFormatting sqref="H279">
    <cfRule type="cellIs" dxfId="3302" priority="1634" operator="equal">
      <formula>0</formula>
    </cfRule>
  </conditionalFormatting>
  <conditionalFormatting sqref="H279">
    <cfRule type="cellIs" dxfId="3301" priority="1635" operator="equal">
      <formula>0</formula>
    </cfRule>
  </conditionalFormatting>
  <conditionalFormatting sqref="H279">
    <cfRule type="cellIs" dxfId="3300" priority="1636" operator="equal">
      <formula>0</formula>
    </cfRule>
  </conditionalFormatting>
  <conditionalFormatting sqref="H279">
    <cfRule type="cellIs" dxfId="3299" priority="1637" operator="equal">
      <formula>0</formula>
    </cfRule>
  </conditionalFormatting>
  <conditionalFormatting sqref="H279">
    <cfRule type="cellIs" dxfId="3298" priority="1638" operator="equal">
      <formula>0</formula>
    </cfRule>
  </conditionalFormatting>
  <conditionalFormatting sqref="H279">
    <cfRule type="cellIs" dxfId="3297" priority="1639" operator="equal">
      <formula>0</formula>
    </cfRule>
  </conditionalFormatting>
  <conditionalFormatting sqref="H279">
    <cfRule type="cellIs" dxfId="3296" priority="1640" operator="equal">
      <formula>0</formula>
    </cfRule>
  </conditionalFormatting>
  <conditionalFormatting sqref="H279">
    <cfRule type="cellIs" dxfId="3295" priority="1641" operator="equal">
      <formula>0</formula>
    </cfRule>
  </conditionalFormatting>
  <conditionalFormatting sqref="H279">
    <cfRule type="cellIs" dxfId="3294" priority="1642" operator="equal">
      <formula>0</formula>
    </cfRule>
  </conditionalFormatting>
  <conditionalFormatting sqref="H279">
    <cfRule type="cellIs" dxfId="3293" priority="1643" operator="equal">
      <formula>0</formula>
    </cfRule>
  </conditionalFormatting>
  <conditionalFormatting sqref="H279">
    <cfRule type="cellIs" dxfId="3292" priority="1644" operator="equal">
      <formula>0</formula>
    </cfRule>
  </conditionalFormatting>
  <conditionalFormatting sqref="H279">
    <cfRule type="cellIs" dxfId="3291" priority="1645" operator="equal">
      <formula>0</formula>
    </cfRule>
  </conditionalFormatting>
  <conditionalFormatting sqref="H279">
    <cfRule type="cellIs" dxfId="3290" priority="1646" operator="equal">
      <formula>0</formula>
    </cfRule>
  </conditionalFormatting>
  <conditionalFormatting sqref="H279">
    <cfRule type="cellIs" dxfId="3289" priority="1647" operator="equal">
      <formula>0</formula>
    </cfRule>
  </conditionalFormatting>
  <conditionalFormatting sqref="H279">
    <cfRule type="cellIs" dxfId="3288" priority="1648" operator="equal">
      <formula>0</formula>
    </cfRule>
  </conditionalFormatting>
  <conditionalFormatting sqref="H279">
    <cfRule type="cellIs" dxfId="3287" priority="1649" operator="equal">
      <formula>0</formula>
    </cfRule>
  </conditionalFormatting>
  <conditionalFormatting sqref="H323">
    <cfRule type="cellIs" dxfId="3286" priority="1650" operator="equal">
      <formula>0</formula>
    </cfRule>
  </conditionalFormatting>
  <conditionalFormatting sqref="H323">
    <cfRule type="cellIs" dxfId="3285" priority="1651" operator="equal">
      <formula>0</formula>
    </cfRule>
  </conditionalFormatting>
  <conditionalFormatting sqref="H323">
    <cfRule type="cellIs" dxfId="3284" priority="1652" operator="equal">
      <formula>0</formula>
    </cfRule>
  </conditionalFormatting>
  <conditionalFormatting sqref="H323">
    <cfRule type="cellIs" dxfId="3283" priority="1653" operator="equal">
      <formula>0</formula>
    </cfRule>
  </conditionalFormatting>
  <conditionalFormatting sqref="H323">
    <cfRule type="cellIs" dxfId="3282" priority="1654" operator="equal">
      <formula>0</formula>
    </cfRule>
  </conditionalFormatting>
  <conditionalFormatting sqref="H323">
    <cfRule type="cellIs" dxfId="3281" priority="1655" operator="equal">
      <formula>0</formula>
    </cfRule>
  </conditionalFormatting>
  <conditionalFormatting sqref="H323">
    <cfRule type="cellIs" dxfId="3280" priority="1656" operator="equal">
      <formula>0</formula>
    </cfRule>
  </conditionalFormatting>
  <conditionalFormatting sqref="H323">
    <cfRule type="cellIs" dxfId="3279" priority="1657" operator="equal">
      <formula>0</formula>
    </cfRule>
  </conditionalFormatting>
  <conditionalFormatting sqref="H323">
    <cfRule type="cellIs" dxfId="3278" priority="1658" operator="equal">
      <formula>0</formula>
    </cfRule>
  </conditionalFormatting>
  <conditionalFormatting sqref="H323">
    <cfRule type="cellIs" dxfId="3277" priority="1659" operator="equal">
      <formula>0</formula>
    </cfRule>
  </conditionalFormatting>
  <conditionalFormatting sqref="H323">
    <cfRule type="cellIs" dxfId="3276" priority="1660" operator="equal">
      <formula>0</formula>
    </cfRule>
  </conditionalFormatting>
  <conditionalFormatting sqref="H323">
    <cfRule type="cellIs" dxfId="3275" priority="1661" operator="equal">
      <formula>0</formula>
    </cfRule>
  </conditionalFormatting>
  <conditionalFormatting sqref="H323">
    <cfRule type="cellIs" dxfId="3274" priority="1662" operator="equal">
      <formula>0</formula>
    </cfRule>
  </conditionalFormatting>
  <conditionalFormatting sqref="H323">
    <cfRule type="cellIs" dxfId="3273" priority="1663" operator="equal">
      <formula>0</formula>
    </cfRule>
  </conditionalFormatting>
  <conditionalFormatting sqref="H323">
    <cfRule type="cellIs" dxfId="3272" priority="1664" operator="equal">
      <formula>0</formula>
    </cfRule>
  </conditionalFormatting>
  <conditionalFormatting sqref="H323">
    <cfRule type="cellIs" dxfId="3271" priority="1665" operator="equal">
      <formula>0</formula>
    </cfRule>
  </conditionalFormatting>
  <conditionalFormatting sqref="H323">
    <cfRule type="cellIs" dxfId="3270" priority="1666" operator="equal">
      <formula>0</formula>
    </cfRule>
  </conditionalFormatting>
  <conditionalFormatting sqref="H323">
    <cfRule type="cellIs" dxfId="3269" priority="1667" operator="equal">
      <formula>0</formula>
    </cfRule>
  </conditionalFormatting>
  <conditionalFormatting sqref="H323">
    <cfRule type="cellIs" dxfId="3268" priority="1668" operator="equal">
      <formula>0</formula>
    </cfRule>
  </conditionalFormatting>
  <conditionalFormatting sqref="H323">
    <cfRule type="cellIs" dxfId="3267" priority="1669" operator="equal">
      <formula>0</formula>
    </cfRule>
  </conditionalFormatting>
  <conditionalFormatting sqref="H323">
    <cfRule type="cellIs" dxfId="3266" priority="1670" operator="equal">
      <formula>0</formula>
    </cfRule>
  </conditionalFormatting>
  <conditionalFormatting sqref="H323">
    <cfRule type="cellIs" dxfId="3265" priority="1671" operator="equal">
      <formula>0</formula>
    </cfRule>
  </conditionalFormatting>
  <conditionalFormatting sqref="H323">
    <cfRule type="cellIs" dxfId="3264" priority="1672" operator="equal">
      <formula>0</formula>
    </cfRule>
  </conditionalFormatting>
  <conditionalFormatting sqref="H323">
    <cfRule type="cellIs" dxfId="3263" priority="1673" operator="equal">
      <formula>0</formula>
    </cfRule>
  </conditionalFormatting>
  <conditionalFormatting sqref="H323">
    <cfRule type="cellIs" dxfId="3262" priority="1674" operator="equal">
      <formula>0</formula>
    </cfRule>
  </conditionalFormatting>
  <conditionalFormatting sqref="H323">
    <cfRule type="cellIs" dxfId="3261" priority="1675" operator="equal">
      <formula>0</formula>
    </cfRule>
  </conditionalFormatting>
  <conditionalFormatting sqref="H323">
    <cfRule type="cellIs" dxfId="3260" priority="1676" operator="equal">
      <formula>0</formula>
    </cfRule>
  </conditionalFormatting>
  <conditionalFormatting sqref="H323">
    <cfRule type="cellIs" dxfId="3259" priority="1677" operator="equal">
      <formula>0</formula>
    </cfRule>
  </conditionalFormatting>
  <conditionalFormatting sqref="H323">
    <cfRule type="cellIs" dxfId="3258" priority="1678" operator="equal">
      <formula>0</formula>
    </cfRule>
  </conditionalFormatting>
  <conditionalFormatting sqref="H323">
    <cfRule type="cellIs" dxfId="3257" priority="1679" operator="equal">
      <formula>0</formula>
    </cfRule>
  </conditionalFormatting>
  <conditionalFormatting sqref="H323">
    <cfRule type="cellIs" dxfId="3256" priority="1680" operator="equal">
      <formula>0</formula>
    </cfRule>
  </conditionalFormatting>
  <conditionalFormatting sqref="H323">
    <cfRule type="cellIs" dxfId="3255" priority="1681" operator="equal">
      <formula>0</formula>
    </cfRule>
  </conditionalFormatting>
  <conditionalFormatting sqref="H323">
    <cfRule type="cellIs" dxfId="3254" priority="1682" operator="equal">
      <formula>0</formula>
    </cfRule>
  </conditionalFormatting>
  <conditionalFormatting sqref="H323">
    <cfRule type="cellIs" dxfId="3253" priority="1683" operator="equal">
      <formula>0</formula>
    </cfRule>
  </conditionalFormatting>
  <conditionalFormatting sqref="H323">
    <cfRule type="cellIs" dxfId="3252" priority="1684" operator="equal">
      <formula>0</formula>
    </cfRule>
  </conditionalFormatting>
  <conditionalFormatting sqref="H323">
    <cfRule type="cellIs" dxfId="3251" priority="1685" operator="equal">
      <formula>0</formula>
    </cfRule>
  </conditionalFormatting>
  <conditionalFormatting sqref="H323">
    <cfRule type="cellIs" dxfId="3250" priority="1686" operator="equal">
      <formula>0</formula>
    </cfRule>
  </conditionalFormatting>
  <conditionalFormatting sqref="H323">
    <cfRule type="cellIs" dxfId="3249" priority="1687" operator="equal">
      <formula>0</formula>
    </cfRule>
  </conditionalFormatting>
  <conditionalFormatting sqref="H323">
    <cfRule type="cellIs" dxfId="3248" priority="1688" operator="equal">
      <formula>0</formula>
    </cfRule>
  </conditionalFormatting>
  <conditionalFormatting sqref="H323">
    <cfRule type="cellIs" dxfId="3247" priority="1689" operator="equal">
      <formula>0</formula>
    </cfRule>
  </conditionalFormatting>
  <conditionalFormatting sqref="H323">
    <cfRule type="cellIs" dxfId="3246" priority="1690" operator="equal">
      <formula>0</formula>
    </cfRule>
  </conditionalFormatting>
  <conditionalFormatting sqref="H323">
    <cfRule type="cellIs" dxfId="3245" priority="1691" operator="equal">
      <formula>0</formula>
    </cfRule>
  </conditionalFormatting>
  <conditionalFormatting sqref="H323">
    <cfRule type="cellIs" dxfId="3244" priority="1692" operator="equal">
      <formula>0</formula>
    </cfRule>
  </conditionalFormatting>
  <conditionalFormatting sqref="H323">
    <cfRule type="cellIs" dxfId="3243" priority="1693" operator="equal">
      <formula>0</formula>
    </cfRule>
  </conditionalFormatting>
  <conditionalFormatting sqref="H323">
    <cfRule type="cellIs" dxfId="3242" priority="1694" operator="equal">
      <formula>0</formula>
    </cfRule>
  </conditionalFormatting>
  <conditionalFormatting sqref="H323">
    <cfRule type="cellIs" dxfId="3241" priority="1695" operator="equal">
      <formula>0</formula>
    </cfRule>
  </conditionalFormatting>
  <conditionalFormatting sqref="H323">
    <cfRule type="cellIs" dxfId="3240" priority="1696" operator="equal">
      <formula>0</formula>
    </cfRule>
  </conditionalFormatting>
  <conditionalFormatting sqref="H323">
    <cfRule type="cellIs" dxfId="3239" priority="1697" operator="equal">
      <formula>0</formula>
    </cfRule>
  </conditionalFormatting>
  <conditionalFormatting sqref="H323">
    <cfRule type="cellIs" dxfId="3238" priority="1698" operator="equal">
      <formula>0</formula>
    </cfRule>
  </conditionalFormatting>
  <conditionalFormatting sqref="H323">
    <cfRule type="cellIs" dxfId="3237" priority="1699" operator="equal">
      <formula>0</formula>
    </cfRule>
  </conditionalFormatting>
  <conditionalFormatting sqref="H323">
    <cfRule type="cellIs" dxfId="3236" priority="1700" operator="equal">
      <formula>0</formula>
    </cfRule>
  </conditionalFormatting>
  <conditionalFormatting sqref="H323">
    <cfRule type="cellIs" dxfId="3235" priority="1701" operator="equal">
      <formula>0</formula>
    </cfRule>
  </conditionalFormatting>
  <conditionalFormatting sqref="H323">
    <cfRule type="cellIs" dxfId="3234" priority="1702" operator="equal">
      <formula>0</formula>
    </cfRule>
  </conditionalFormatting>
  <conditionalFormatting sqref="H323">
    <cfRule type="cellIs" dxfId="3233" priority="1703" operator="equal">
      <formula>0</formula>
    </cfRule>
  </conditionalFormatting>
  <conditionalFormatting sqref="H323">
    <cfRule type="cellIs" dxfId="3232" priority="1704" operator="equal">
      <formula>0</formula>
    </cfRule>
  </conditionalFormatting>
  <conditionalFormatting sqref="H323">
    <cfRule type="cellIs" dxfId="3231" priority="1705" operator="equal">
      <formula>0</formula>
    </cfRule>
  </conditionalFormatting>
  <conditionalFormatting sqref="H323">
    <cfRule type="cellIs" dxfId="3230" priority="1706" operator="equal">
      <formula>0</formula>
    </cfRule>
  </conditionalFormatting>
  <conditionalFormatting sqref="H323">
    <cfRule type="cellIs" dxfId="3229" priority="1707" operator="equal">
      <formula>0</formula>
    </cfRule>
  </conditionalFormatting>
  <conditionalFormatting sqref="H323">
    <cfRule type="cellIs" dxfId="3228" priority="1708" operator="equal">
      <formula>0</formula>
    </cfRule>
  </conditionalFormatting>
  <conditionalFormatting sqref="H323">
    <cfRule type="cellIs" dxfId="3227" priority="1709" operator="equal">
      <formula>0</formula>
    </cfRule>
  </conditionalFormatting>
  <conditionalFormatting sqref="H323">
    <cfRule type="cellIs" dxfId="3226" priority="1710" operator="equal">
      <formula>0</formula>
    </cfRule>
  </conditionalFormatting>
  <conditionalFormatting sqref="H323">
    <cfRule type="cellIs" dxfId="3225" priority="1711" operator="equal">
      <formula>0</formula>
    </cfRule>
  </conditionalFormatting>
  <conditionalFormatting sqref="H323">
    <cfRule type="cellIs" dxfId="3224" priority="1712" operator="equal">
      <formula>0</formula>
    </cfRule>
  </conditionalFormatting>
  <conditionalFormatting sqref="H323">
    <cfRule type="cellIs" dxfId="3223" priority="1713" operator="equal">
      <formula>0</formula>
    </cfRule>
  </conditionalFormatting>
  <conditionalFormatting sqref="H323">
    <cfRule type="cellIs" dxfId="3222" priority="1714" operator="equal">
      <formula>0</formula>
    </cfRule>
  </conditionalFormatting>
  <conditionalFormatting sqref="H323">
    <cfRule type="cellIs" dxfId="3221" priority="1715" operator="equal">
      <formula>0</formula>
    </cfRule>
  </conditionalFormatting>
  <conditionalFormatting sqref="H323">
    <cfRule type="cellIs" dxfId="3220" priority="1716" operator="equal">
      <formula>0</formula>
    </cfRule>
  </conditionalFormatting>
  <conditionalFormatting sqref="H323">
    <cfRule type="cellIs" dxfId="3219" priority="1717" operator="equal">
      <formula>0</formula>
    </cfRule>
  </conditionalFormatting>
  <conditionalFormatting sqref="H323">
    <cfRule type="cellIs" dxfId="3218" priority="1718" operator="equal">
      <formula>0</formula>
    </cfRule>
  </conditionalFormatting>
  <conditionalFormatting sqref="H323">
    <cfRule type="cellIs" dxfId="3217" priority="1719" operator="equal">
      <formula>0</formula>
    </cfRule>
  </conditionalFormatting>
  <conditionalFormatting sqref="H323">
    <cfRule type="cellIs" dxfId="3216" priority="1720" operator="equal">
      <formula>0</formula>
    </cfRule>
  </conditionalFormatting>
  <conditionalFormatting sqref="H323">
    <cfRule type="cellIs" dxfId="3215" priority="1721" operator="equal">
      <formula>0</formula>
    </cfRule>
  </conditionalFormatting>
  <conditionalFormatting sqref="H323">
    <cfRule type="cellIs" dxfId="3214" priority="1722" operator="equal">
      <formula>0</formula>
    </cfRule>
  </conditionalFormatting>
  <conditionalFormatting sqref="H323">
    <cfRule type="cellIs" dxfId="3213" priority="1723" operator="equal">
      <formula>0</formula>
    </cfRule>
  </conditionalFormatting>
  <conditionalFormatting sqref="H323">
    <cfRule type="cellIs" dxfId="3212" priority="1724" operator="equal">
      <formula>0</formula>
    </cfRule>
  </conditionalFormatting>
  <conditionalFormatting sqref="H323">
    <cfRule type="cellIs" dxfId="3211" priority="1725" operator="equal">
      <formula>0</formula>
    </cfRule>
  </conditionalFormatting>
  <conditionalFormatting sqref="H323">
    <cfRule type="cellIs" dxfId="3210" priority="1726" operator="equal">
      <formula>0</formula>
    </cfRule>
  </conditionalFormatting>
  <conditionalFormatting sqref="H323">
    <cfRule type="cellIs" dxfId="3209" priority="1727" operator="equal">
      <formula>0</formula>
    </cfRule>
  </conditionalFormatting>
  <conditionalFormatting sqref="H323">
    <cfRule type="cellIs" dxfId="3208" priority="1728" operator="equal">
      <formula>0</formula>
    </cfRule>
  </conditionalFormatting>
  <conditionalFormatting sqref="H323">
    <cfRule type="cellIs" dxfId="3207" priority="1729" operator="equal">
      <formula>0</formula>
    </cfRule>
  </conditionalFormatting>
  <conditionalFormatting sqref="H323">
    <cfRule type="cellIs" dxfId="3206" priority="1730" operator="equal">
      <formula>0</formula>
    </cfRule>
  </conditionalFormatting>
  <conditionalFormatting sqref="H323">
    <cfRule type="cellIs" dxfId="3205" priority="1731" operator="equal">
      <formula>0</formula>
    </cfRule>
  </conditionalFormatting>
  <conditionalFormatting sqref="H323">
    <cfRule type="cellIs" dxfId="3204" priority="1732" operator="equal">
      <formula>0</formula>
    </cfRule>
  </conditionalFormatting>
  <conditionalFormatting sqref="H323">
    <cfRule type="cellIs" dxfId="3203" priority="1733" operator="equal">
      <formula>0</formula>
    </cfRule>
  </conditionalFormatting>
  <conditionalFormatting sqref="H323">
    <cfRule type="cellIs" dxfId="3202" priority="1734" operator="equal">
      <formula>0</formula>
    </cfRule>
  </conditionalFormatting>
  <conditionalFormatting sqref="H323">
    <cfRule type="cellIs" dxfId="3201" priority="1735" operator="equal">
      <formula>0</formula>
    </cfRule>
  </conditionalFormatting>
  <conditionalFormatting sqref="H323">
    <cfRule type="cellIs" dxfId="3200" priority="1736" operator="equal">
      <formula>0</formula>
    </cfRule>
  </conditionalFormatting>
  <conditionalFormatting sqref="H323">
    <cfRule type="cellIs" dxfId="3199" priority="1737" operator="equal">
      <formula>0</formula>
    </cfRule>
  </conditionalFormatting>
  <conditionalFormatting sqref="H323">
    <cfRule type="cellIs" dxfId="3198" priority="1738" operator="equal">
      <formula>0</formula>
    </cfRule>
  </conditionalFormatting>
  <conditionalFormatting sqref="H323">
    <cfRule type="cellIs" dxfId="3197" priority="1739" operator="equal">
      <formula>0</formula>
    </cfRule>
  </conditionalFormatting>
  <conditionalFormatting sqref="H323">
    <cfRule type="cellIs" dxfId="3196" priority="1740" operator="equal">
      <formula>0</formula>
    </cfRule>
  </conditionalFormatting>
  <conditionalFormatting sqref="H367">
    <cfRule type="cellIs" dxfId="3195" priority="1741" operator="equal">
      <formula>0</formula>
    </cfRule>
  </conditionalFormatting>
  <conditionalFormatting sqref="H367">
    <cfRule type="cellIs" dxfId="3194" priority="1742" operator="equal">
      <formula>0</formula>
    </cfRule>
  </conditionalFormatting>
  <conditionalFormatting sqref="H367">
    <cfRule type="cellIs" dxfId="3193" priority="1743" operator="equal">
      <formula>0</formula>
    </cfRule>
  </conditionalFormatting>
  <conditionalFormatting sqref="H367">
    <cfRule type="cellIs" dxfId="3192" priority="1744" operator="equal">
      <formula>0</formula>
    </cfRule>
  </conditionalFormatting>
  <conditionalFormatting sqref="H367">
    <cfRule type="cellIs" dxfId="3191" priority="1745" operator="equal">
      <formula>0</formula>
    </cfRule>
  </conditionalFormatting>
  <conditionalFormatting sqref="H367">
    <cfRule type="cellIs" dxfId="3190" priority="1746" operator="equal">
      <formula>0</formula>
    </cfRule>
  </conditionalFormatting>
  <conditionalFormatting sqref="H367">
    <cfRule type="cellIs" dxfId="3189" priority="1747" operator="equal">
      <formula>0</formula>
    </cfRule>
  </conditionalFormatting>
  <conditionalFormatting sqref="H367">
    <cfRule type="cellIs" dxfId="3188" priority="1748" operator="equal">
      <formula>0</formula>
    </cfRule>
  </conditionalFormatting>
  <conditionalFormatting sqref="H367">
    <cfRule type="cellIs" dxfId="3187" priority="1749" operator="equal">
      <formula>0</formula>
    </cfRule>
  </conditionalFormatting>
  <conditionalFormatting sqref="H367">
    <cfRule type="cellIs" dxfId="3186" priority="1750" operator="equal">
      <formula>0</formula>
    </cfRule>
  </conditionalFormatting>
  <conditionalFormatting sqref="H367">
    <cfRule type="cellIs" dxfId="3185" priority="1751" operator="equal">
      <formula>0</formula>
    </cfRule>
  </conditionalFormatting>
  <conditionalFormatting sqref="H367">
    <cfRule type="cellIs" dxfId="3184" priority="1752" operator="equal">
      <formula>0</formula>
    </cfRule>
  </conditionalFormatting>
  <conditionalFormatting sqref="H367">
    <cfRule type="cellIs" dxfId="3183" priority="1753" operator="equal">
      <formula>0</formula>
    </cfRule>
  </conditionalFormatting>
  <conditionalFormatting sqref="H367">
    <cfRule type="cellIs" dxfId="3182" priority="1754" operator="equal">
      <formula>0</formula>
    </cfRule>
  </conditionalFormatting>
  <conditionalFormatting sqref="H367">
    <cfRule type="cellIs" dxfId="3181" priority="1755" operator="equal">
      <formula>0</formula>
    </cfRule>
  </conditionalFormatting>
  <conditionalFormatting sqref="H367">
    <cfRule type="cellIs" dxfId="3180" priority="1756" operator="equal">
      <formula>0</formula>
    </cfRule>
  </conditionalFormatting>
  <conditionalFormatting sqref="H367">
    <cfRule type="cellIs" dxfId="3179" priority="1757" operator="equal">
      <formula>0</formula>
    </cfRule>
  </conditionalFormatting>
  <conditionalFormatting sqref="H367">
    <cfRule type="cellIs" dxfId="3178" priority="1758" operator="equal">
      <formula>0</formula>
    </cfRule>
  </conditionalFormatting>
  <conditionalFormatting sqref="H367">
    <cfRule type="cellIs" dxfId="3177" priority="1759" operator="equal">
      <formula>0</formula>
    </cfRule>
  </conditionalFormatting>
  <conditionalFormatting sqref="H367">
    <cfRule type="cellIs" dxfId="3176" priority="1760" operator="equal">
      <formula>0</formula>
    </cfRule>
  </conditionalFormatting>
  <conditionalFormatting sqref="H367">
    <cfRule type="cellIs" dxfId="3175" priority="1761" operator="equal">
      <formula>0</formula>
    </cfRule>
  </conditionalFormatting>
  <conditionalFormatting sqref="H367">
    <cfRule type="cellIs" dxfId="3174" priority="1762" operator="equal">
      <formula>0</formula>
    </cfRule>
  </conditionalFormatting>
  <conditionalFormatting sqref="H367">
    <cfRule type="cellIs" dxfId="3173" priority="1763" operator="equal">
      <formula>0</formula>
    </cfRule>
  </conditionalFormatting>
  <conditionalFormatting sqref="H367">
    <cfRule type="cellIs" dxfId="3172" priority="1764" operator="equal">
      <formula>0</formula>
    </cfRule>
  </conditionalFormatting>
  <conditionalFormatting sqref="H367">
    <cfRule type="cellIs" dxfId="3171" priority="1765" operator="equal">
      <formula>0</formula>
    </cfRule>
  </conditionalFormatting>
  <conditionalFormatting sqref="H367">
    <cfRule type="cellIs" dxfId="3170" priority="1766" operator="equal">
      <formula>0</formula>
    </cfRule>
  </conditionalFormatting>
  <conditionalFormatting sqref="H367">
    <cfRule type="cellIs" dxfId="3169" priority="1767" operator="equal">
      <formula>0</formula>
    </cfRule>
  </conditionalFormatting>
  <conditionalFormatting sqref="H367">
    <cfRule type="cellIs" dxfId="3168" priority="1768" operator="equal">
      <formula>0</formula>
    </cfRule>
  </conditionalFormatting>
  <conditionalFormatting sqref="H367">
    <cfRule type="cellIs" dxfId="3167" priority="1769" operator="equal">
      <formula>0</formula>
    </cfRule>
  </conditionalFormatting>
  <conditionalFormatting sqref="H367">
    <cfRule type="cellIs" dxfId="3166" priority="1770" operator="equal">
      <formula>0</formula>
    </cfRule>
  </conditionalFormatting>
  <conditionalFormatting sqref="H367">
    <cfRule type="cellIs" dxfId="3165" priority="1771" operator="equal">
      <formula>0</formula>
    </cfRule>
  </conditionalFormatting>
  <conditionalFormatting sqref="H367">
    <cfRule type="cellIs" dxfId="3164" priority="1772" operator="equal">
      <formula>0</formula>
    </cfRule>
  </conditionalFormatting>
  <conditionalFormatting sqref="H367">
    <cfRule type="cellIs" dxfId="3163" priority="1773" operator="equal">
      <formula>0</formula>
    </cfRule>
  </conditionalFormatting>
  <conditionalFormatting sqref="H367">
    <cfRule type="cellIs" dxfId="3162" priority="1774" operator="equal">
      <formula>0</formula>
    </cfRule>
  </conditionalFormatting>
  <conditionalFormatting sqref="H367">
    <cfRule type="cellIs" dxfId="3161" priority="1775" operator="equal">
      <formula>0</formula>
    </cfRule>
  </conditionalFormatting>
  <conditionalFormatting sqref="H367">
    <cfRule type="cellIs" dxfId="3160" priority="1776" operator="equal">
      <formula>0</formula>
    </cfRule>
  </conditionalFormatting>
  <conditionalFormatting sqref="H367">
    <cfRule type="cellIs" dxfId="3159" priority="1777" operator="equal">
      <formula>0</formula>
    </cfRule>
  </conditionalFormatting>
  <conditionalFormatting sqref="H367">
    <cfRule type="cellIs" dxfId="3158" priority="1778" operator="equal">
      <formula>0</formula>
    </cfRule>
  </conditionalFormatting>
  <conditionalFormatting sqref="H367">
    <cfRule type="cellIs" dxfId="3157" priority="1779" operator="equal">
      <formula>0</formula>
    </cfRule>
  </conditionalFormatting>
  <conditionalFormatting sqref="H367">
    <cfRule type="cellIs" dxfId="3156" priority="1780" operator="equal">
      <formula>0</formula>
    </cfRule>
  </conditionalFormatting>
  <conditionalFormatting sqref="H367">
    <cfRule type="cellIs" dxfId="3155" priority="1781" operator="equal">
      <formula>0</formula>
    </cfRule>
  </conditionalFormatting>
  <conditionalFormatting sqref="H367">
    <cfRule type="cellIs" dxfId="3154" priority="1782" operator="equal">
      <formula>0</formula>
    </cfRule>
  </conditionalFormatting>
  <conditionalFormatting sqref="H367">
    <cfRule type="cellIs" dxfId="3153" priority="1783" operator="equal">
      <formula>0</formula>
    </cfRule>
  </conditionalFormatting>
  <conditionalFormatting sqref="H367">
    <cfRule type="cellIs" dxfId="3152" priority="1784" operator="equal">
      <formula>0</formula>
    </cfRule>
  </conditionalFormatting>
  <conditionalFormatting sqref="H367">
    <cfRule type="cellIs" dxfId="3151" priority="1785" operator="equal">
      <formula>0</formula>
    </cfRule>
  </conditionalFormatting>
  <conditionalFormatting sqref="H367">
    <cfRule type="cellIs" dxfId="3150" priority="1786" operator="equal">
      <formula>0</formula>
    </cfRule>
  </conditionalFormatting>
  <conditionalFormatting sqref="H367">
    <cfRule type="cellIs" dxfId="3149" priority="1787" operator="equal">
      <formula>0</formula>
    </cfRule>
  </conditionalFormatting>
  <conditionalFormatting sqref="H367">
    <cfRule type="cellIs" dxfId="3148" priority="1788" operator="equal">
      <formula>0</formula>
    </cfRule>
  </conditionalFormatting>
  <conditionalFormatting sqref="H367">
    <cfRule type="cellIs" dxfId="3147" priority="1789" operator="equal">
      <formula>0</formula>
    </cfRule>
  </conditionalFormatting>
  <conditionalFormatting sqref="H367">
    <cfRule type="cellIs" dxfId="3146" priority="1790" operator="equal">
      <formula>0</formula>
    </cfRule>
  </conditionalFormatting>
  <conditionalFormatting sqref="H367">
    <cfRule type="cellIs" dxfId="3145" priority="1791" operator="equal">
      <formula>0</formula>
    </cfRule>
  </conditionalFormatting>
  <conditionalFormatting sqref="H367">
    <cfRule type="cellIs" dxfId="3144" priority="1792" operator="equal">
      <formula>0</formula>
    </cfRule>
  </conditionalFormatting>
  <conditionalFormatting sqref="H367">
    <cfRule type="cellIs" dxfId="3143" priority="1793" operator="equal">
      <formula>0</formula>
    </cfRule>
  </conditionalFormatting>
  <conditionalFormatting sqref="H367">
    <cfRule type="cellIs" dxfId="3142" priority="1794" operator="equal">
      <formula>0</formula>
    </cfRule>
  </conditionalFormatting>
  <conditionalFormatting sqref="H367">
    <cfRule type="cellIs" dxfId="3141" priority="1795" operator="equal">
      <formula>0</formula>
    </cfRule>
  </conditionalFormatting>
  <conditionalFormatting sqref="H367">
    <cfRule type="cellIs" dxfId="3140" priority="1796" operator="equal">
      <formula>0</formula>
    </cfRule>
  </conditionalFormatting>
  <conditionalFormatting sqref="H367">
    <cfRule type="cellIs" dxfId="3139" priority="1797" operator="equal">
      <formula>0</formula>
    </cfRule>
  </conditionalFormatting>
  <conditionalFormatting sqref="H367">
    <cfRule type="cellIs" dxfId="3138" priority="1798" operator="equal">
      <formula>0</formula>
    </cfRule>
  </conditionalFormatting>
  <conditionalFormatting sqref="H367">
    <cfRule type="cellIs" dxfId="3137" priority="1799" operator="equal">
      <formula>0</formula>
    </cfRule>
  </conditionalFormatting>
  <conditionalFormatting sqref="H367">
    <cfRule type="cellIs" dxfId="3136" priority="1800" operator="equal">
      <formula>0</formula>
    </cfRule>
  </conditionalFormatting>
  <conditionalFormatting sqref="H367">
    <cfRule type="cellIs" dxfId="3135" priority="1801" operator="equal">
      <formula>0</formula>
    </cfRule>
  </conditionalFormatting>
  <conditionalFormatting sqref="H367">
    <cfRule type="cellIs" dxfId="3134" priority="1802" operator="equal">
      <formula>0</formula>
    </cfRule>
  </conditionalFormatting>
  <conditionalFormatting sqref="H367">
    <cfRule type="cellIs" dxfId="3133" priority="1803" operator="equal">
      <formula>0</formula>
    </cfRule>
  </conditionalFormatting>
  <conditionalFormatting sqref="H367">
    <cfRule type="cellIs" dxfId="3132" priority="1804" operator="equal">
      <formula>0</formula>
    </cfRule>
  </conditionalFormatting>
  <conditionalFormatting sqref="H367">
    <cfRule type="cellIs" dxfId="3131" priority="1805" operator="equal">
      <formula>0</formula>
    </cfRule>
  </conditionalFormatting>
  <conditionalFormatting sqref="H367">
    <cfRule type="cellIs" dxfId="3130" priority="1806" operator="equal">
      <formula>0</formula>
    </cfRule>
  </conditionalFormatting>
  <conditionalFormatting sqref="H367">
    <cfRule type="cellIs" dxfId="3129" priority="1807" operator="equal">
      <formula>0</formula>
    </cfRule>
  </conditionalFormatting>
  <conditionalFormatting sqref="H367">
    <cfRule type="cellIs" dxfId="3128" priority="1808" operator="equal">
      <formula>0</formula>
    </cfRule>
  </conditionalFormatting>
  <conditionalFormatting sqref="H367">
    <cfRule type="cellIs" dxfId="3127" priority="1809" operator="equal">
      <formula>0</formula>
    </cfRule>
  </conditionalFormatting>
  <conditionalFormatting sqref="H367">
    <cfRule type="cellIs" dxfId="3126" priority="1810" operator="equal">
      <formula>0</formula>
    </cfRule>
  </conditionalFormatting>
  <conditionalFormatting sqref="H367">
    <cfRule type="cellIs" dxfId="3125" priority="1811" operator="equal">
      <formula>0</formula>
    </cfRule>
  </conditionalFormatting>
  <conditionalFormatting sqref="H367">
    <cfRule type="cellIs" dxfId="3124" priority="1812" operator="equal">
      <formula>0</formula>
    </cfRule>
  </conditionalFormatting>
  <conditionalFormatting sqref="H367">
    <cfRule type="cellIs" dxfId="3123" priority="1813" operator="equal">
      <formula>0</formula>
    </cfRule>
  </conditionalFormatting>
  <conditionalFormatting sqref="H367">
    <cfRule type="cellIs" dxfId="3122" priority="1814" operator="equal">
      <formula>0</formula>
    </cfRule>
  </conditionalFormatting>
  <conditionalFormatting sqref="H367">
    <cfRule type="cellIs" dxfId="3121" priority="1815" operator="equal">
      <formula>0</formula>
    </cfRule>
  </conditionalFormatting>
  <conditionalFormatting sqref="H367">
    <cfRule type="cellIs" dxfId="3120" priority="1816" operator="equal">
      <formula>0</formula>
    </cfRule>
  </conditionalFormatting>
  <conditionalFormatting sqref="H367">
    <cfRule type="cellIs" dxfId="3119" priority="1817" operator="equal">
      <formula>0</formula>
    </cfRule>
  </conditionalFormatting>
  <conditionalFormatting sqref="H367">
    <cfRule type="cellIs" dxfId="3118" priority="1818" operator="equal">
      <formula>0</formula>
    </cfRule>
  </conditionalFormatting>
  <conditionalFormatting sqref="H367">
    <cfRule type="cellIs" dxfId="3117" priority="1819" operator="equal">
      <formula>0</formula>
    </cfRule>
  </conditionalFormatting>
  <conditionalFormatting sqref="H367">
    <cfRule type="cellIs" dxfId="3116" priority="1820" operator="equal">
      <formula>0</formula>
    </cfRule>
  </conditionalFormatting>
  <conditionalFormatting sqref="H367">
    <cfRule type="cellIs" dxfId="3115" priority="1821" operator="equal">
      <formula>0</formula>
    </cfRule>
  </conditionalFormatting>
  <conditionalFormatting sqref="H367">
    <cfRule type="cellIs" dxfId="3114" priority="1822" operator="equal">
      <formula>0</formula>
    </cfRule>
  </conditionalFormatting>
  <conditionalFormatting sqref="H367">
    <cfRule type="cellIs" dxfId="3113" priority="1823" operator="equal">
      <formula>0</formula>
    </cfRule>
  </conditionalFormatting>
  <conditionalFormatting sqref="H367">
    <cfRule type="cellIs" dxfId="3112" priority="1824" operator="equal">
      <formula>0</formula>
    </cfRule>
  </conditionalFormatting>
  <conditionalFormatting sqref="H367">
    <cfRule type="cellIs" dxfId="3111" priority="1825" operator="equal">
      <formula>0</formula>
    </cfRule>
  </conditionalFormatting>
  <conditionalFormatting sqref="H367">
    <cfRule type="cellIs" dxfId="3110" priority="1826" operator="equal">
      <formula>0</formula>
    </cfRule>
  </conditionalFormatting>
  <conditionalFormatting sqref="H367">
    <cfRule type="cellIs" dxfId="3109" priority="1827" operator="equal">
      <formula>0</formula>
    </cfRule>
  </conditionalFormatting>
  <conditionalFormatting sqref="H367">
    <cfRule type="cellIs" dxfId="3108" priority="1828" operator="equal">
      <formula>0</formula>
    </cfRule>
  </conditionalFormatting>
  <conditionalFormatting sqref="H367">
    <cfRule type="cellIs" dxfId="3107" priority="1829" operator="equal">
      <formula>0</formula>
    </cfRule>
  </conditionalFormatting>
  <conditionalFormatting sqref="H367">
    <cfRule type="cellIs" dxfId="3106" priority="1830" operator="equal">
      <formula>0</formula>
    </cfRule>
  </conditionalFormatting>
  <conditionalFormatting sqref="H367">
    <cfRule type="cellIs" dxfId="3105" priority="1831" operator="equal">
      <formula>0</formula>
    </cfRule>
  </conditionalFormatting>
  <conditionalFormatting sqref="H411">
    <cfRule type="cellIs" dxfId="3104" priority="1832" operator="equal">
      <formula>0</formula>
    </cfRule>
  </conditionalFormatting>
  <conditionalFormatting sqref="H411">
    <cfRule type="cellIs" dxfId="3103" priority="1833" operator="equal">
      <formula>0</formula>
    </cfRule>
  </conditionalFormatting>
  <conditionalFormatting sqref="H411">
    <cfRule type="cellIs" dxfId="3102" priority="1834" operator="equal">
      <formula>0</formula>
    </cfRule>
  </conditionalFormatting>
  <conditionalFormatting sqref="H411">
    <cfRule type="cellIs" dxfId="3101" priority="1835" operator="equal">
      <formula>0</formula>
    </cfRule>
  </conditionalFormatting>
  <conditionalFormatting sqref="H411">
    <cfRule type="cellIs" dxfId="3100" priority="1836" operator="equal">
      <formula>0</formula>
    </cfRule>
  </conditionalFormatting>
  <conditionalFormatting sqref="H411">
    <cfRule type="cellIs" dxfId="3099" priority="1837" operator="equal">
      <formula>0</formula>
    </cfRule>
  </conditionalFormatting>
  <conditionalFormatting sqref="H411">
    <cfRule type="cellIs" dxfId="3098" priority="1838" operator="equal">
      <formula>0</formula>
    </cfRule>
  </conditionalFormatting>
  <conditionalFormatting sqref="H411">
    <cfRule type="cellIs" dxfId="3097" priority="1839" operator="equal">
      <formula>0</formula>
    </cfRule>
  </conditionalFormatting>
  <conditionalFormatting sqref="H411">
    <cfRule type="cellIs" dxfId="3096" priority="1840" operator="equal">
      <formula>0</formula>
    </cfRule>
  </conditionalFormatting>
  <conditionalFormatting sqref="H411">
    <cfRule type="cellIs" dxfId="3095" priority="1841" operator="equal">
      <formula>0</formula>
    </cfRule>
  </conditionalFormatting>
  <conditionalFormatting sqref="H411">
    <cfRule type="cellIs" dxfId="3094" priority="1842" operator="equal">
      <formula>0</formula>
    </cfRule>
  </conditionalFormatting>
  <conditionalFormatting sqref="H411">
    <cfRule type="cellIs" dxfId="3093" priority="1843" operator="equal">
      <formula>0</formula>
    </cfRule>
  </conditionalFormatting>
  <conditionalFormatting sqref="H411">
    <cfRule type="cellIs" dxfId="3092" priority="1844" operator="equal">
      <formula>0</formula>
    </cfRule>
  </conditionalFormatting>
  <conditionalFormatting sqref="H411">
    <cfRule type="cellIs" dxfId="3091" priority="1845" operator="equal">
      <formula>0</formula>
    </cfRule>
  </conditionalFormatting>
  <conditionalFormatting sqref="H411">
    <cfRule type="cellIs" dxfId="3090" priority="1846" operator="equal">
      <formula>0</formula>
    </cfRule>
  </conditionalFormatting>
  <conditionalFormatting sqref="H411">
    <cfRule type="cellIs" dxfId="3089" priority="1847" operator="equal">
      <formula>0</formula>
    </cfRule>
  </conditionalFormatting>
  <conditionalFormatting sqref="H411">
    <cfRule type="cellIs" dxfId="3088" priority="1848" operator="equal">
      <formula>0</formula>
    </cfRule>
  </conditionalFormatting>
  <conditionalFormatting sqref="H411">
    <cfRule type="cellIs" dxfId="3087" priority="1849" operator="equal">
      <formula>0</formula>
    </cfRule>
  </conditionalFormatting>
  <conditionalFormatting sqref="H411">
    <cfRule type="cellIs" dxfId="3086" priority="1850" operator="equal">
      <formula>0</formula>
    </cfRule>
  </conditionalFormatting>
  <conditionalFormatting sqref="H411">
    <cfRule type="cellIs" dxfId="3085" priority="1851" operator="equal">
      <formula>0</formula>
    </cfRule>
  </conditionalFormatting>
  <conditionalFormatting sqref="H411">
    <cfRule type="cellIs" dxfId="3084" priority="1852" operator="equal">
      <formula>0</formula>
    </cfRule>
  </conditionalFormatting>
  <conditionalFormatting sqref="H411">
    <cfRule type="cellIs" dxfId="3083" priority="1853" operator="equal">
      <formula>0</formula>
    </cfRule>
  </conditionalFormatting>
  <conditionalFormatting sqref="H411">
    <cfRule type="cellIs" dxfId="3082" priority="1854" operator="equal">
      <formula>0</formula>
    </cfRule>
  </conditionalFormatting>
  <conditionalFormatting sqref="H411">
    <cfRule type="cellIs" dxfId="3081" priority="1855" operator="equal">
      <formula>0</formula>
    </cfRule>
  </conditionalFormatting>
  <conditionalFormatting sqref="H411">
    <cfRule type="cellIs" dxfId="3080" priority="1856" operator="equal">
      <formula>0</formula>
    </cfRule>
  </conditionalFormatting>
  <conditionalFormatting sqref="H411">
    <cfRule type="cellIs" dxfId="3079" priority="1857" operator="equal">
      <formula>0</formula>
    </cfRule>
  </conditionalFormatting>
  <conditionalFormatting sqref="H411">
    <cfRule type="cellIs" dxfId="3078" priority="1858" operator="equal">
      <formula>0</formula>
    </cfRule>
  </conditionalFormatting>
  <conditionalFormatting sqref="H411">
    <cfRule type="cellIs" dxfId="3077" priority="1859" operator="equal">
      <formula>0</formula>
    </cfRule>
  </conditionalFormatting>
  <conditionalFormatting sqref="H411">
    <cfRule type="cellIs" dxfId="3076" priority="1860" operator="equal">
      <formula>0</formula>
    </cfRule>
  </conditionalFormatting>
  <conditionalFormatting sqref="H411">
    <cfRule type="cellIs" dxfId="3075" priority="1861" operator="equal">
      <formula>0</formula>
    </cfRule>
  </conditionalFormatting>
  <conditionalFormatting sqref="H411">
    <cfRule type="cellIs" dxfId="3074" priority="1862" operator="equal">
      <formula>0</formula>
    </cfRule>
  </conditionalFormatting>
  <conditionalFormatting sqref="H411">
    <cfRule type="cellIs" dxfId="3073" priority="1863" operator="equal">
      <formula>0</formula>
    </cfRule>
  </conditionalFormatting>
  <conditionalFormatting sqref="H411">
    <cfRule type="cellIs" dxfId="3072" priority="1864" operator="equal">
      <formula>0</formula>
    </cfRule>
  </conditionalFormatting>
  <conditionalFormatting sqref="H411">
    <cfRule type="cellIs" dxfId="3071" priority="1865" operator="equal">
      <formula>0</formula>
    </cfRule>
  </conditionalFormatting>
  <conditionalFormatting sqref="H411">
    <cfRule type="cellIs" dxfId="3070" priority="1866" operator="equal">
      <formula>0</formula>
    </cfRule>
  </conditionalFormatting>
  <conditionalFormatting sqref="H411">
    <cfRule type="cellIs" dxfId="3069" priority="1867" operator="equal">
      <formula>0</formula>
    </cfRule>
  </conditionalFormatting>
  <conditionalFormatting sqref="H411">
    <cfRule type="cellIs" dxfId="3068" priority="1868" operator="equal">
      <formula>0</formula>
    </cfRule>
  </conditionalFormatting>
  <conditionalFormatting sqref="H411">
    <cfRule type="cellIs" dxfId="3067" priority="1869" operator="equal">
      <formula>0</formula>
    </cfRule>
  </conditionalFormatting>
  <conditionalFormatting sqref="H411">
    <cfRule type="cellIs" dxfId="3066" priority="1870" operator="equal">
      <formula>0</formula>
    </cfRule>
  </conditionalFormatting>
  <conditionalFormatting sqref="H411">
    <cfRule type="cellIs" dxfId="3065" priority="1871" operator="equal">
      <formula>0</formula>
    </cfRule>
  </conditionalFormatting>
  <conditionalFormatting sqref="H411">
    <cfRule type="cellIs" dxfId="3064" priority="1872" operator="equal">
      <formula>0</formula>
    </cfRule>
  </conditionalFormatting>
  <conditionalFormatting sqref="H411">
    <cfRule type="cellIs" dxfId="3063" priority="1873" operator="equal">
      <formula>0</formula>
    </cfRule>
  </conditionalFormatting>
  <conditionalFormatting sqref="H411">
    <cfRule type="cellIs" dxfId="3062" priority="1874" operator="equal">
      <formula>0</formula>
    </cfRule>
  </conditionalFormatting>
  <conditionalFormatting sqref="H411">
    <cfRule type="cellIs" dxfId="3061" priority="1875" operator="equal">
      <formula>0</formula>
    </cfRule>
  </conditionalFormatting>
  <conditionalFormatting sqref="H411">
    <cfRule type="cellIs" dxfId="3060" priority="1876" operator="equal">
      <formula>0</formula>
    </cfRule>
  </conditionalFormatting>
  <conditionalFormatting sqref="H411">
    <cfRule type="cellIs" dxfId="3059" priority="1877" operator="equal">
      <formula>0</formula>
    </cfRule>
  </conditionalFormatting>
  <conditionalFormatting sqref="H411">
    <cfRule type="cellIs" dxfId="3058" priority="1878" operator="equal">
      <formula>0</formula>
    </cfRule>
  </conditionalFormatting>
  <conditionalFormatting sqref="H411">
    <cfRule type="cellIs" dxfId="3057" priority="1879" operator="equal">
      <formula>0</formula>
    </cfRule>
  </conditionalFormatting>
  <conditionalFormatting sqref="H411">
    <cfRule type="cellIs" dxfId="3056" priority="1880" operator="equal">
      <formula>0</formula>
    </cfRule>
  </conditionalFormatting>
  <conditionalFormatting sqref="H411">
    <cfRule type="cellIs" dxfId="3055" priority="1881" operator="equal">
      <formula>0</formula>
    </cfRule>
  </conditionalFormatting>
  <conditionalFormatting sqref="H411">
    <cfRule type="cellIs" dxfId="3054" priority="1882" operator="equal">
      <formula>0</formula>
    </cfRule>
  </conditionalFormatting>
  <conditionalFormatting sqref="H411">
    <cfRule type="cellIs" dxfId="3053" priority="1883" operator="equal">
      <formula>0</formula>
    </cfRule>
  </conditionalFormatting>
  <conditionalFormatting sqref="H411">
    <cfRule type="cellIs" dxfId="3052" priority="1884" operator="equal">
      <formula>0</formula>
    </cfRule>
  </conditionalFormatting>
  <conditionalFormatting sqref="H411">
    <cfRule type="cellIs" dxfId="3051" priority="1885" operator="equal">
      <formula>0</formula>
    </cfRule>
  </conditionalFormatting>
  <conditionalFormatting sqref="H411">
    <cfRule type="cellIs" dxfId="3050" priority="1886" operator="equal">
      <formula>0</formula>
    </cfRule>
  </conditionalFormatting>
  <conditionalFormatting sqref="H411">
    <cfRule type="cellIs" dxfId="3049" priority="1887" operator="equal">
      <formula>0</formula>
    </cfRule>
  </conditionalFormatting>
  <conditionalFormatting sqref="H411">
    <cfRule type="cellIs" dxfId="3048" priority="1888" operator="equal">
      <formula>0</formula>
    </cfRule>
  </conditionalFormatting>
  <conditionalFormatting sqref="H411">
    <cfRule type="cellIs" dxfId="3047" priority="1889" operator="equal">
      <formula>0</formula>
    </cfRule>
  </conditionalFormatting>
  <conditionalFormatting sqref="H411">
    <cfRule type="cellIs" dxfId="3046" priority="1890" operator="equal">
      <formula>0</formula>
    </cfRule>
  </conditionalFormatting>
  <conditionalFormatting sqref="H411">
    <cfRule type="cellIs" dxfId="3045" priority="1891" operator="equal">
      <formula>0</formula>
    </cfRule>
  </conditionalFormatting>
  <conditionalFormatting sqref="H411">
    <cfRule type="cellIs" dxfId="3044" priority="1892" operator="equal">
      <formula>0</formula>
    </cfRule>
  </conditionalFormatting>
  <conditionalFormatting sqref="H411">
    <cfRule type="cellIs" dxfId="3043" priority="1893" operator="equal">
      <formula>0</formula>
    </cfRule>
  </conditionalFormatting>
  <conditionalFormatting sqref="H411">
    <cfRule type="cellIs" dxfId="3042" priority="1894" operator="equal">
      <formula>0</formula>
    </cfRule>
  </conditionalFormatting>
  <conditionalFormatting sqref="H411">
    <cfRule type="cellIs" dxfId="3041" priority="1895" operator="equal">
      <formula>0</formula>
    </cfRule>
  </conditionalFormatting>
  <conditionalFormatting sqref="H411">
    <cfRule type="cellIs" dxfId="3040" priority="1896" operator="equal">
      <formula>0</formula>
    </cfRule>
  </conditionalFormatting>
  <conditionalFormatting sqref="H411">
    <cfRule type="cellIs" dxfId="3039" priority="1897" operator="equal">
      <formula>0</formula>
    </cfRule>
  </conditionalFormatting>
  <conditionalFormatting sqref="H411">
    <cfRule type="cellIs" dxfId="3038" priority="1898" operator="equal">
      <formula>0</formula>
    </cfRule>
  </conditionalFormatting>
  <conditionalFormatting sqref="H411">
    <cfRule type="cellIs" dxfId="3037" priority="1899" operator="equal">
      <formula>0</formula>
    </cfRule>
  </conditionalFormatting>
  <conditionalFormatting sqref="H411">
    <cfRule type="cellIs" dxfId="3036" priority="1900" operator="equal">
      <formula>0</formula>
    </cfRule>
  </conditionalFormatting>
  <conditionalFormatting sqref="H411">
    <cfRule type="cellIs" dxfId="3035" priority="1901" operator="equal">
      <formula>0</formula>
    </cfRule>
  </conditionalFormatting>
  <conditionalFormatting sqref="H411">
    <cfRule type="cellIs" dxfId="3034" priority="1902" operator="equal">
      <formula>0</formula>
    </cfRule>
  </conditionalFormatting>
  <conditionalFormatting sqref="H411">
    <cfRule type="cellIs" dxfId="3033" priority="1903" operator="equal">
      <formula>0</formula>
    </cfRule>
  </conditionalFormatting>
  <conditionalFormatting sqref="H411">
    <cfRule type="cellIs" dxfId="3032" priority="1904" operator="equal">
      <formula>0</formula>
    </cfRule>
  </conditionalFormatting>
  <conditionalFormatting sqref="H411">
    <cfRule type="cellIs" dxfId="3031" priority="1905" operator="equal">
      <formula>0</formula>
    </cfRule>
  </conditionalFormatting>
  <conditionalFormatting sqref="H411">
    <cfRule type="cellIs" dxfId="3030" priority="1906" operator="equal">
      <formula>0</formula>
    </cfRule>
  </conditionalFormatting>
  <conditionalFormatting sqref="H411">
    <cfRule type="cellIs" dxfId="3029" priority="1907" operator="equal">
      <formula>0</formula>
    </cfRule>
  </conditionalFormatting>
  <conditionalFormatting sqref="H411">
    <cfRule type="cellIs" dxfId="3028" priority="1908" operator="equal">
      <formula>0</formula>
    </cfRule>
  </conditionalFormatting>
  <conditionalFormatting sqref="H411">
    <cfRule type="cellIs" dxfId="3027" priority="1909" operator="equal">
      <formula>0</formula>
    </cfRule>
  </conditionalFormatting>
  <conditionalFormatting sqref="H411">
    <cfRule type="cellIs" dxfId="3026" priority="1910" operator="equal">
      <formula>0</formula>
    </cfRule>
  </conditionalFormatting>
  <conditionalFormatting sqref="H411">
    <cfRule type="cellIs" dxfId="3025" priority="1911" operator="equal">
      <formula>0</formula>
    </cfRule>
  </conditionalFormatting>
  <conditionalFormatting sqref="H411">
    <cfRule type="cellIs" dxfId="3024" priority="1912" operator="equal">
      <formula>0</formula>
    </cfRule>
  </conditionalFormatting>
  <conditionalFormatting sqref="H411">
    <cfRule type="cellIs" dxfId="3023" priority="1913" operator="equal">
      <formula>0</formula>
    </cfRule>
  </conditionalFormatting>
  <conditionalFormatting sqref="H411">
    <cfRule type="cellIs" dxfId="3022" priority="1914" operator="equal">
      <formula>0</formula>
    </cfRule>
  </conditionalFormatting>
  <conditionalFormatting sqref="H411">
    <cfRule type="cellIs" dxfId="3021" priority="1915" operator="equal">
      <formula>0</formula>
    </cfRule>
  </conditionalFormatting>
  <conditionalFormatting sqref="H411">
    <cfRule type="cellIs" dxfId="3020" priority="1916" operator="equal">
      <formula>0</formula>
    </cfRule>
  </conditionalFormatting>
  <conditionalFormatting sqref="H411">
    <cfRule type="cellIs" dxfId="3019" priority="1917" operator="equal">
      <formula>0</formula>
    </cfRule>
  </conditionalFormatting>
  <conditionalFormatting sqref="H411">
    <cfRule type="cellIs" dxfId="3018" priority="1918" operator="equal">
      <formula>0</formula>
    </cfRule>
  </conditionalFormatting>
  <conditionalFormatting sqref="H411">
    <cfRule type="cellIs" dxfId="3017" priority="1919" operator="equal">
      <formula>0</formula>
    </cfRule>
  </conditionalFormatting>
  <conditionalFormatting sqref="H411">
    <cfRule type="cellIs" dxfId="3016" priority="1920" operator="equal">
      <formula>0</formula>
    </cfRule>
  </conditionalFormatting>
  <conditionalFormatting sqref="H411">
    <cfRule type="cellIs" dxfId="3015" priority="1921" operator="equal">
      <formula>0</formula>
    </cfRule>
  </conditionalFormatting>
  <conditionalFormatting sqref="H411">
    <cfRule type="cellIs" dxfId="3014" priority="1922" operator="equal">
      <formula>0</formula>
    </cfRule>
  </conditionalFormatting>
  <conditionalFormatting sqref="H455">
    <cfRule type="cellIs" dxfId="3013" priority="1923" operator="equal">
      <formula>0</formula>
    </cfRule>
  </conditionalFormatting>
  <conditionalFormatting sqref="H455">
    <cfRule type="cellIs" dxfId="3012" priority="1924" operator="equal">
      <formula>0</formula>
    </cfRule>
  </conditionalFormatting>
  <conditionalFormatting sqref="H455">
    <cfRule type="cellIs" dxfId="3011" priority="1925" operator="equal">
      <formula>0</formula>
    </cfRule>
  </conditionalFormatting>
  <conditionalFormatting sqref="H455">
    <cfRule type="cellIs" dxfId="3010" priority="1926" operator="equal">
      <formula>0</formula>
    </cfRule>
  </conditionalFormatting>
  <conditionalFormatting sqref="H455">
    <cfRule type="cellIs" dxfId="3009" priority="1927" operator="equal">
      <formula>0</formula>
    </cfRule>
  </conditionalFormatting>
  <conditionalFormatting sqref="H455">
    <cfRule type="cellIs" dxfId="3008" priority="1928" operator="equal">
      <formula>0</formula>
    </cfRule>
  </conditionalFormatting>
  <conditionalFormatting sqref="H455">
    <cfRule type="cellIs" dxfId="3007" priority="1929" operator="equal">
      <formula>0</formula>
    </cfRule>
  </conditionalFormatting>
  <conditionalFormatting sqref="H455">
    <cfRule type="cellIs" dxfId="3006" priority="1930" operator="equal">
      <formula>0</formula>
    </cfRule>
  </conditionalFormatting>
  <conditionalFormatting sqref="H455">
    <cfRule type="cellIs" dxfId="3005" priority="1931" operator="equal">
      <formula>0</formula>
    </cfRule>
  </conditionalFormatting>
  <conditionalFormatting sqref="H455">
    <cfRule type="cellIs" dxfId="3004" priority="1932" operator="equal">
      <formula>0</formula>
    </cfRule>
  </conditionalFormatting>
  <conditionalFormatting sqref="H455">
    <cfRule type="cellIs" dxfId="3003" priority="1933" operator="equal">
      <formula>0</formula>
    </cfRule>
  </conditionalFormatting>
  <conditionalFormatting sqref="H455">
    <cfRule type="cellIs" dxfId="3002" priority="1934" operator="equal">
      <formula>0</formula>
    </cfRule>
  </conditionalFormatting>
  <conditionalFormatting sqref="H455">
    <cfRule type="cellIs" dxfId="3001" priority="1935" operator="equal">
      <formula>0</formula>
    </cfRule>
  </conditionalFormatting>
  <conditionalFormatting sqref="H455">
    <cfRule type="cellIs" dxfId="3000" priority="1936" operator="equal">
      <formula>0</formula>
    </cfRule>
  </conditionalFormatting>
  <conditionalFormatting sqref="H455">
    <cfRule type="cellIs" dxfId="2999" priority="1937" operator="equal">
      <formula>0</formula>
    </cfRule>
  </conditionalFormatting>
  <conditionalFormatting sqref="H455">
    <cfRule type="cellIs" dxfId="2998" priority="1938" operator="equal">
      <formula>0</formula>
    </cfRule>
  </conditionalFormatting>
  <conditionalFormatting sqref="H455">
    <cfRule type="cellIs" dxfId="2997" priority="1939" operator="equal">
      <formula>0</formula>
    </cfRule>
  </conditionalFormatting>
  <conditionalFormatting sqref="H455">
    <cfRule type="cellIs" dxfId="2996" priority="1940" operator="equal">
      <formula>0</formula>
    </cfRule>
  </conditionalFormatting>
  <conditionalFormatting sqref="H455">
    <cfRule type="cellIs" dxfId="2995" priority="1941" operator="equal">
      <formula>0</formula>
    </cfRule>
  </conditionalFormatting>
  <conditionalFormatting sqref="H455">
    <cfRule type="cellIs" dxfId="2994" priority="1942" operator="equal">
      <formula>0</formula>
    </cfRule>
  </conditionalFormatting>
  <conditionalFormatting sqref="H455">
    <cfRule type="cellIs" dxfId="2993" priority="1943" operator="equal">
      <formula>0</formula>
    </cfRule>
  </conditionalFormatting>
  <conditionalFormatting sqref="H455">
    <cfRule type="cellIs" dxfId="2992" priority="1944" operator="equal">
      <formula>0</formula>
    </cfRule>
  </conditionalFormatting>
  <conditionalFormatting sqref="H455">
    <cfRule type="cellIs" dxfId="2991" priority="1945" operator="equal">
      <formula>0</formula>
    </cfRule>
  </conditionalFormatting>
  <conditionalFormatting sqref="H455">
    <cfRule type="cellIs" dxfId="2990" priority="1946" operator="equal">
      <formula>0</formula>
    </cfRule>
  </conditionalFormatting>
  <conditionalFormatting sqref="H455">
    <cfRule type="cellIs" dxfId="2989" priority="1947" operator="equal">
      <formula>0</formula>
    </cfRule>
  </conditionalFormatting>
  <conditionalFormatting sqref="H455">
    <cfRule type="cellIs" dxfId="2988" priority="1948" operator="equal">
      <formula>0</formula>
    </cfRule>
  </conditionalFormatting>
  <conditionalFormatting sqref="H455">
    <cfRule type="cellIs" dxfId="2987" priority="1949" operator="equal">
      <formula>0</formula>
    </cfRule>
  </conditionalFormatting>
  <conditionalFormatting sqref="H455">
    <cfRule type="cellIs" dxfId="2986" priority="1950" operator="equal">
      <formula>0</formula>
    </cfRule>
  </conditionalFormatting>
  <conditionalFormatting sqref="H455">
    <cfRule type="cellIs" dxfId="2985" priority="1951" operator="equal">
      <formula>0</formula>
    </cfRule>
  </conditionalFormatting>
  <conditionalFormatting sqref="H455">
    <cfRule type="cellIs" dxfId="2984" priority="1952" operator="equal">
      <formula>0</formula>
    </cfRule>
  </conditionalFormatting>
  <conditionalFormatting sqref="H455">
    <cfRule type="cellIs" dxfId="2983" priority="1953" operator="equal">
      <formula>0</formula>
    </cfRule>
  </conditionalFormatting>
  <conditionalFormatting sqref="H455">
    <cfRule type="cellIs" dxfId="2982" priority="1954" operator="equal">
      <formula>0</formula>
    </cfRule>
  </conditionalFormatting>
  <conditionalFormatting sqref="H455">
    <cfRule type="cellIs" dxfId="2981" priority="1955" operator="equal">
      <formula>0</formula>
    </cfRule>
  </conditionalFormatting>
  <conditionalFormatting sqref="H455">
    <cfRule type="cellIs" dxfId="2980" priority="1956" operator="equal">
      <formula>0</formula>
    </cfRule>
  </conditionalFormatting>
  <conditionalFormatting sqref="H455">
    <cfRule type="cellIs" dxfId="2979" priority="1957" operator="equal">
      <formula>0</formula>
    </cfRule>
  </conditionalFormatting>
  <conditionalFormatting sqref="H455">
    <cfRule type="cellIs" dxfId="2978" priority="1958" operator="equal">
      <formula>0</formula>
    </cfRule>
  </conditionalFormatting>
  <conditionalFormatting sqref="H455">
    <cfRule type="cellIs" dxfId="2977" priority="1959" operator="equal">
      <formula>0</formula>
    </cfRule>
  </conditionalFormatting>
  <conditionalFormatting sqref="H455">
    <cfRule type="cellIs" dxfId="2976" priority="1960" operator="equal">
      <formula>0</formula>
    </cfRule>
  </conditionalFormatting>
  <conditionalFormatting sqref="H455">
    <cfRule type="cellIs" dxfId="2975" priority="1961" operator="equal">
      <formula>0</formula>
    </cfRule>
  </conditionalFormatting>
  <conditionalFormatting sqref="H455">
    <cfRule type="cellIs" dxfId="2974" priority="1962" operator="equal">
      <formula>0</formula>
    </cfRule>
  </conditionalFormatting>
  <conditionalFormatting sqref="H455">
    <cfRule type="cellIs" dxfId="2973" priority="1963" operator="equal">
      <formula>0</formula>
    </cfRule>
  </conditionalFormatting>
  <conditionalFormatting sqref="H455">
    <cfRule type="cellIs" dxfId="2972" priority="1964" operator="equal">
      <formula>0</formula>
    </cfRule>
  </conditionalFormatting>
  <conditionalFormatting sqref="H455">
    <cfRule type="cellIs" dxfId="2971" priority="1965" operator="equal">
      <formula>0</formula>
    </cfRule>
  </conditionalFormatting>
  <conditionalFormatting sqref="H455">
    <cfRule type="cellIs" dxfId="2970" priority="1966" operator="equal">
      <formula>0</formula>
    </cfRule>
  </conditionalFormatting>
  <conditionalFormatting sqref="H455">
    <cfRule type="cellIs" dxfId="2969" priority="1967" operator="equal">
      <formula>0</formula>
    </cfRule>
  </conditionalFormatting>
  <conditionalFormatting sqref="H455">
    <cfRule type="cellIs" dxfId="2968" priority="1968" operator="equal">
      <formula>0</formula>
    </cfRule>
  </conditionalFormatting>
  <conditionalFormatting sqref="H455">
    <cfRule type="cellIs" dxfId="2967" priority="1969" operator="equal">
      <formula>0</formula>
    </cfRule>
  </conditionalFormatting>
  <conditionalFormatting sqref="H455">
    <cfRule type="cellIs" dxfId="2966" priority="1970" operator="equal">
      <formula>0</formula>
    </cfRule>
  </conditionalFormatting>
  <conditionalFormatting sqref="H455">
    <cfRule type="cellIs" dxfId="2965" priority="1971" operator="equal">
      <formula>0</formula>
    </cfRule>
  </conditionalFormatting>
  <conditionalFormatting sqref="H455">
    <cfRule type="cellIs" dxfId="2964" priority="1972" operator="equal">
      <formula>0</formula>
    </cfRule>
  </conditionalFormatting>
  <conditionalFormatting sqref="H455">
    <cfRule type="cellIs" dxfId="2963" priority="1973" operator="equal">
      <formula>0</formula>
    </cfRule>
  </conditionalFormatting>
  <conditionalFormatting sqref="H455">
    <cfRule type="cellIs" dxfId="2962" priority="1974" operator="equal">
      <formula>0</formula>
    </cfRule>
  </conditionalFormatting>
  <conditionalFormatting sqref="H455">
    <cfRule type="cellIs" dxfId="2961" priority="1975" operator="equal">
      <formula>0</formula>
    </cfRule>
  </conditionalFormatting>
  <conditionalFormatting sqref="H455">
    <cfRule type="cellIs" dxfId="2960" priority="1976" operator="equal">
      <formula>0</formula>
    </cfRule>
  </conditionalFormatting>
  <conditionalFormatting sqref="H455">
    <cfRule type="cellIs" dxfId="2959" priority="1977" operator="equal">
      <formula>0</formula>
    </cfRule>
  </conditionalFormatting>
  <conditionalFormatting sqref="H455">
    <cfRule type="cellIs" dxfId="2958" priority="1978" operator="equal">
      <formula>0</formula>
    </cfRule>
  </conditionalFormatting>
  <conditionalFormatting sqref="H455">
    <cfRule type="cellIs" dxfId="2957" priority="1979" operator="equal">
      <formula>0</formula>
    </cfRule>
  </conditionalFormatting>
  <conditionalFormatting sqref="H455">
    <cfRule type="cellIs" dxfId="2956" priority="1980" operator="equal">
      <formula>0</formula>
    </cfRule>
  </conditionalFormatting>
  <conditionalFormatting sqref="H455">
    <cfRule type="cellIs" dxfId="2955" priority="1981" operator="equal">
      <formula>0</formula>
    </cfRule>
  </conditionalFormatting>
  <conditionalFormatting sqref="H455">
    <cfRule type="cellIs" dxfId="2954" priority="1982" operator="equal">
      <formula>0</formula>
    </cfRule>
  </conditionalFormatting>
  <conditionalFormatting sqref="H455">
    <cfRule type="cellIs" dxfId="2953" priority="1983" operator="equal">
      <formula>0</formula>
    </cfRule>
  </conditionalFormatting>
  <conditionalFormatting sqref="H455">
    <cfRule type="cellIs" dxfId="2952" priority="1984" operator="equal">
      <formula>0</formula>
    </cfRule>
  </conditionalFormatting>
  <conditionalFormatting sqref="H455">
    <cfRule type="cellIs" dxfId="2951" priority="1985" operator="equal">
      <formula>0</formula>
    </cfRule>
  </conditionalFormatting>
  <conditionalFormatting sqref="H455">
    <cfRule type="cellIs" dxfId="2950" priority="1986" operator="equal">
      <formula>0</formula>
    </cfRule>
  </conditionalFormatting>
  <conditionalFormatting sqref="H455">
    <cfRule type="cellIs" dxfId="2949" priority="1987" operator="equal">
      <formula>0</formula>
    </cfRule>
  </conditionalFormatting>
  <conditionalFormatting sqref="H455">
    <cfRule type="cellIs" dxfId="2948" priority="1988" operator="equal">
      <formula>0</formula>
    </cfRule>
  </conditionalFormatting>
  <conditionalFormatting sqref="H455">
    <cfRule type="cellIs" dxfId="2947" priority="1989" operator="equal">
      <formula>0</formula>
    </cfRule>
  </conditionalFormatting>
  <conditionalFormatting sqref="H455">
    <cfRule type="cellIs" dxfId="2946" priority="1990" operator="equal">
      <formula>0</formula>
    </cfRule>
  </conditionalFormatting>
  <conditionalFormatting sqref="H455">
    <cfRule type="cellIs" dxfId="2945" priority="1991" operator="equal">
      <formula>0</formula>
    </cfRule>
  </conditionalFormatting>
  <conditionalFormatting sqref="H455">
    <cfRule type="cellIs" dxfId="2944" priority="1992" operator="equal">
      <formula>0</formula>
    </cfRule>
  </conditionalFormatting>
  <conditionalFormatting sqref="H455">
    <cfRule type="cellIs" dxfId="2943" priority="1993" operator="equal">
      <formula>0</formula>
    </cfRule>
  </conditionalFormatting>
  <conditionalFormatting sqref="H455">
    <cfRule type="cellIs" dxfId="2942" priority="1994" operator="equal">
      <formula>0</formula>
    </cfRule>
  </conditionalFormatting>
  <conditionalFormatting sqref="H455">
    <cfRule type="cellIs" dxfId="2941" priority="1995" operator="equal">
      <formula>0</formula>
    </cfRule>
  </conditionalFormatting>
  <conditionalFormatting sqref="H455">
    <cfRule type="cellIs" dxfId="2940" priority="1996" operator="equal">
      <formula>0</formula>
    </cfRule>
  </conditionalFormatting>
  <conditionalFormatting sqref="H455">
    <cfRule type="cellIs" dxfId="2939" priority="1997" operator="equal">
      <formula>0</formula>
    </cfRule>
  </conditionalFormatting>
  <conditionalFormatting sqref="H455">
    <cfRule type="cellIs" dxfId="2938" priority="1998" operator="equal">
      <formula>0</formula>
    </cfRule>
  </conditionalFormatting>
  <conditionalFormatting sqref="H455">
    <cfRule type="cellIs" dxfId="2937" priority="1999" operator="equal">
      <formula>0</formula>
    </cfRule>
  </conditionalFormatting>
  <conditionalFormatting sqref="H455">
    <cfRule type="cellIs" dxfId="2936" priority="2000" operator="equal">
      <formula>0</formula>
    </cfRule>
  </conditionalFormatting>
  <conditionalFormatting sqref="H455">
    <cfRule type="cellIs" dxfId="2935" priority="2001" operator="equal">
      <formula>0</formula>
    </cfRule>
  </conditionalFormatting>
  <conditionalFormatting sqref="H455">
    <cfRule type="cellIs" dxfId="2934" priority="2002" operator="equal">
      <formula>0</formula>
    </cfRule>
  </conditionalFormatting>
  <conditionalFormatting sqref="H455">
    <cfRule type="cellIs" dxfId="2933" priority="2003" operator="equal">
      <formula>0</formula>
    </cfRule>
  </conditionalFormatting>
  <conditionalFormatting sqref="H455">
    <cfRule type="cellIs" dxfId="2932" priority="2004" operator="equal">
      <formula>0</formula>
    </cfRule>
  </conditionalFormatting>
  <conditionalFormatting sqref="H455">
    <cfRule type="cellIs" dxfId="2931" priority="2005" operator="equal">
      <formula>0</formula>
    </cfRule>
  </conditionalFormatting>
  <conditionalFormatting sqref="H455">
    <cfRule type="cellIs" dxfId="2930" priority="2006" operator="equal">
      <formula>0</formula>
    </cfRule>
  </conditionalFormatting>
  <conditionalFormatting sqref="H455">
    <cfRule type="cellIs" dxfId="2929" priority="2007" operator="equal">
      <formula>0</formula>
    </cfRule>
  </conditionalFormatting>
  <conditionalFormatting sqref="H455">
    <cfRule type="cellIs" dxfId="2928" priority="2008" operator="equal">
      <formula>0</formula>
    </cfRule>
  </conditionalFormatting>
  <conditionalFormatting sqref="H455">
    <cfRule type="cellIs" dxfId="2927" priority="2009" operator="equal">
      <formula>0</formula>
    </cfRule>
  </conditionalFormatting>
  <conditionalFormatting sqref="H455">
    <cfRule type="cellIs" dxfId="2926" priority="2010" operator="equal">
      <formula>0</formula>
    </cfRule>
  </conditionalFormatting>
  <conditionalFormatting sqref="H455">
    <cfRule type="cellIs" dxfId="2925" priority="2011" operator="equal">
      <formula>0</formula>
    </cfRule>
  </conditionalFormatting>
  <conditionalFormatting sqref="H455">
    <cfRule type="cellIs" dxfId="2924" priority="2012" operator="equal">
      <formula>0</formula>
    </cfRule>
  </conditionalFormatting>
  <conditionalFormatting sqref="H455">
    <cfRule type="cellIs" dxfId="2923" priority="2013" operator="equal">
      <formula>0</formula>
    </cfRule>
  </conditionalFormatting>
  <conditionalFormatting sqref="H499">
    <cfRule type="cellIs" dxfId="2922" priority="2014" operator="equal">
      <formula>0</formula>
    </cfRule>
  </conditionalFormatting>
  <conditionalFormatting sqref="H499">
    <cfRule type="cellIs" dxfId="2921" priority="2015" operator="equal">
      <formula>0</formula>
    </cfRule>
  </conditionalFormatting>
  <conditionalFormatting sqref="H499">
    <cfRule type="cellIs" dxfId="2920" priority="2016" operator="equal">
      <formula>0</formula>
    </cfRule>
  </conditionalFormatting>
  <conditionalFormatting sqref="H499">
    <cfRule type="cellIs" dxfId="2919" priority="2017" operator="equal">
      <formula>0</formula>
    </cfRule>
  </conditionalFormatting>
  <conditionalFormatting sqref="H499">
    <cfRule type="cellIs" dxfId="2918" priority="2018" operator="equal">
      <formula>0</formula>
    </cfRule>
  </conditionalFormatting>
  <conditionalFormatting sqref="H499">
    <cfRule type="cellIs" dxfId="2917" priority="2019" operator="equal">
      <formula>0</formula>
    </cfRule>
  </conditionalFormatting>
  <conditionalFormatting sqref="H499">
    <cfRule type="cellIs" dxfId="2916" priority="2020" operator="equal">
      <formula>0</formula>
    </cfRule>
  </conditionalFormatting>
  <conditionalFormatting sqref="H499">
    <cfRule type="cellIs" dxfId="2915" priority="2021" operator="equal">
      <formula>0</formula>
    </cfRule>
  </conditionalFormatting>
  <conditionalFormatting sqref="H499">
    <cfRule type="cellIs" dxfId="2914" priority="2022" operator="equal">
      <formula>0</formula>
    </cfRule>
  </conditionalFormatting>
  <conditionalFormatting sqref="H499">
    <cfRule type="cellIs" dxfId="2913" priority="2023" operator="equal">
      <formula>0</formula>
    </cfRule>
  </conditionalFormatting>
  <conditionalFormatting sqref="H499">
    <cfRule type="cellIs" dxfId="2912" priority="2024" operator="equal">
      <formula>0</formula>
    </cfRule>
  </conditionalFormatting>
  <conditionalFormatting sqref="H499">
    <cfRule type="cellIs" dxfId="2911" priority="2025" operator="equal">
      <formula>0</formula>
    </cfRule>
  </conditionalFormatting>
  <conditionalFormatting sqref="H499">
    <cfRule type="cellIs" dxfId="2910" priority="2026" operator="equal">
      <formula>0</formula>
    </cfRule>
  </conditionalFormatting>
  <conditionalFormatting sqref="H499">
    <cfRule type="cellIs" dxfId="2909" priority="2027" operator="equal">
      <formula>0</formula>
    </cfRule>
  </conditionalFormatting>
  <conditionalFormatting sqref="H499">
    <cfRule type="cellIs" dxfId="2908" priority="2028" operator="equal">
      <formula>0</formula>
    </cfRule>
  </conditionalFormatting>
  <conditionalFormatting sqref="H499">
    <cfRule type="cellIs" dxfId="2907" priority="2029" operator="equal">
      <formula>0</formula>
    </cfRule>
  </conditionalFormatting>
  <conditionalFormatting sqref="H499">
    <cfRule type="cellIs" dxfId="2906" priority="2030" operator="equal">
      <formula>0</formula>
    </cfRule>
  </conditionalFormatting>
  <conditionalFormatting sqref="H499">
    <cfRule type="cellIs" dxfId="2905" priority="2031" operator="equal">
      <formula>0</formula>
    </cfRule>
  </conditionalFormatting>
  <conditionalFormatting sqref="H499">
    <cfRule type="cellIs" dxfId="2904" priority="2032" operator="equal">
      <formula>0</formula>
    </cfRule>
  </conditionalFormatting>
  <conditionalFormatting sqref="H499">
    <cfRule type="cellIs" dxfId="2903" priority="2033" operator="equal">
      <formula>0</formula>
    </cfRule>
  </conditionalFormatting>
  <conditionalFormatting sqref="H499">
    <cfRule type="cellIs" dxfId="2902" priority="2034" operator="equal">
      <formula>0</formula>
    </cfRule>
  </conditionalFormatting>
  <conditionalFormatting sqref="H499">
    <cfRule type="cellIs" dxfId="2901" priority="2035" operator="equal">
      <formula>0</formula>
    </cfRule>
  </conditionalFormatting>
  <conditionalFormatting sqref="H499">
    <cfRule type="cellIs" dxfId="2900" priority="2036" operator="equal">
      <formula>0</formula>
    </cfRule>
  </conditionalFormatting>
  <conditionalFormatting sqref="H499">
    <cfRule type="cellIs" dxfId="2899" priority="2037" operator="equal">
      <formula>0</formula>
    </cfRule>
  </conditionalFormatting>
  <conditionalFormatting sqref="H499">
    <cfRule type="cellIs" dxfId="2898" priority="2038" operator="equal">
      <formula>0</formula>
    </cfRule>
  </conditionalFormatting>
  <conditionalFormatting sqref="H499">
    <cfRule type="cellIs" dxfId="2897" priority="2039" operator="equal">
      <formula>0</formula>
    </cfRule>
  </conditionalFormatting>
  <conditionalFormatting sqref="H499">
    <cfRule type="cellIs" dxfId="2896" priority="2040" operator="equal">
      <formula>0</formula>
    </cfRule>
  </conditionalFormatting>
  <conditionalFormatting sqref="H499">
    <cfRule type="cellIs" dxfId="2895" priority="2041" operator="equal">
      <formula>0</formula>
    </cfRule>
  </conditionalFormatting>
  <conditionalFormatting sqref="H499">
    <cfRule type="cellIs" dxfId="2894" priority="2042" operator="equal">
      <formula>0</formula>
    </cfRule>
  </conditionalFormatting>
  <conditionalFormatting sqref="H499">
    <cfRule type="cellIs" dxfId="2893" priority="2043" operator="equal">
      <formula>0</formula>
    </cfRule>
  </conditionalFormatting>
  <conditionalFormatting sqref="H499">
    <cfRule type="cellIs" dxfId="2892" priority="2044" operator="equal">
      <formula>0</formula>
    </cfRule>
  </conditionalFormatting>
  <conditionalFormatting sqref="H499">
    <cfRule type="cellIs" dxfId="2891" priority="2045" operator="equal">
      <formula>0</formula>
    </cfRule>
  </conditionalFormatting>
  <conditionalFormatting sqref="H499">
    <cfRule type="cellIs" dxfId="2890" priority="2046" operator="equal">
      <formula>0</formula>
    </cfRule>
  </conditionalFormatting>
  <conditionalFormatting sqref="H499">
    <cfRule type="cellIs" dxfId="2889" priority="2047" operator="equal">
      <formula>0</formula>
    </cfRule>
  </conditionalFormatting>
  <conditionalFormatting sqref="H499">
    <cfRule type="cellIs" dxfId="2888" priority="2048" operator="equal">
      <formula>0</formula>
    </cfRule>
  </conditionalFormatting>
  <conditionalFormatting sqref="H499">
    <cfRule type="cellIs" dxfId="2887" priority="2049" operator="equal">
      <formula>0</formula>
    </cfRule>
  </conditionalFormatting>
  <conditionalFormatting sqref="H499">
    <cfRule type="cellIs" dxfId="2886" priority="2050" operator="equal">
      <formula>0</formula>
    </cfRule>
  </conditionalFormatting>
  <conditionalFormatting sqref="H499">
    <cfRule type="cellIs" dxfId="2885" priority="2051" operator="equal">
      <formula>0</formula>
    </cfRule>
  </conditionalFormatting>
  <conditionalFormatting sqref="H499">
    <cfRule type="cellIs" dxfId="2884" priority="2052" operator="equal">
      <formula>0</formula>
    </cfRule>
  </conditionalFormatting>
  <conditionalFormatting sqref="H499">
    <cfRule type="cellIs" dxfId="2883" priority="2053" operator="equal">
      <formula>0</formula>
    </cfRule>
  </conditionalFormatting>
  <conditionalFormatting sqref="H499">
    <cfRule type="cellIs" dxfId="2882" priority="2054" operator="equal">
      <formula>0</formula>
    </cfRule>
  </conditionalFormatting>
  <conditionalFormatting sqref="H499">
    <cfRule type="cellIs" dxfId="2881" priority="2055" operator="equal">
      <formula>0</formula>
    </cfRule>
  </conditionalFormatting>
  <conditionalFormatting sqref="H499">
    <cfRule type="cellIs" dxfId="2880" priority="2056" operator="equal">
      <formula>0</formula>
    </cfRule>
  </conditionalFormatting>
  <conditionalFormatting sqref="H499">
    <cfRule type="cellIs" dxfId="2879" priority="2057" operator="equal">
      <formula>0</formula>
    </cfRule>
  </conditionalFormatting>
  <conditionalFormatting sqref="H499">
    <cfRule type="cellIs" dxfId="2878" priority="2058" operator="equal">
      <formula>0</formula>
    </cfRule>
  </conditionalFormatting>
  <conditionalFormatting sqref="H499">
    <cfRule type="cellIs" dxfId="2877" priority="2059" operator="equal">
      <formula>0</formula>
    </cfRule>
  </conditionalFormatting>
  <conditionalFormatting sqref="H499">
    <cfRule type="cellIs" dxfId="2876" priority="2060" operator="equal">
      <formula>0</formula>
    </cfRule>
  </conditionalFormatting>
  <conditionalFormatting sqref="H499">
    <cfRule type="cellIs" dxfId="2875" priority="2061" operator="equal">
      <formula>0</formula>
    </cfRule>
  </conditionalFormatting>
  <conditionalFormatting sqref="H499">
    <cfRule type="cellIs" dxfId="2874" priority="2062" operator="equal">
      <formula>0</formula>
    </cfRule>
  </conditionalFormatting>
  <conditionalFormatting sqref="H499">
    <cfRule type="cellIs" dxfId="2873" priority="2063" operator="equal">
      <formula>0</formula>
    </cfRule>
  </conditionalFormatting>
  <conditionalFormatting sqref="H499">
    <cfRule type="cellIs" dxfId="2872" priority="2064" operator="equal">
      <formula>0</formula>
    </cfRule>
  </conditionalFormatting>
  <conditionalFormatting sqref="H499">
    <cfRule type="cellIs" dxfId="2871" priority="2065" operator="equal">
      <formula>0</formula>
    </cfRule>
  </conditionalFormatting>
  <conditionalFormatting sqref="H499">
    <cfRule type="cellIs" dxfId="2870" priority="2066" operator="equal">
      <formula>0</formula>
    </cfRule>
  </conditionalFormatting>
  <conditionalFormatting sqref="H499">
    <cfRule type="cellIs" dxfId="2869" priority="2067" operator="equal">
      <formula>0</formula>
    </cfRule>
  </conditionalFormatting>
  <conditionalFormatting sqref="H499">
    <cfRule type="cellIs" dxfId="2868" priority="2068" operator="equal">
      <formula>0</formula>
    </cfRule>
  </conditionalFormatting>
  <conditionalFormatting sqref="H499">
    <cfRule type="cellIs" dxfId="2867" priority="2069" operator="equal">
      <formula>0</formula>
    </cfRule>
  </conditionalFormatting>
  <conditionalFormatting sqref="H499">
    <cfRule type="cellIs" dxfId="2866" priority="2070" operator="equal">
      <formula>0</formula>
    </cfRule>
  </conditionalFormatting>
  <conditionalFormatting sqref="H499">
    <cfRule type="cellIs" dxfId="2865" priority="2071" operator="equal">
      <formula>0</formula>
    </cfRule>
  </conditionalFormatting>
  <conditionalFormatting sqref="H499">
    <cfRule type="cellIs" dxfId="2864" priority="2072" operator="equal">
      <formula>0</formula>
    </cfRule>
  </conditionalFormatting>
  <conditionalFormatting sqref="H499">
    <cfRule type="cellIs" dxfId="2863" priority="2073" operator="equal">
      <formula>0</formula>
    </cfRule>
  </conditionalFormatting>
  <conditionalFormatting sqref="H499">
    <cfRule type="cellIs" dxfId="2862" priority="2074" operator="equal">
      <formula>0</formula>
    </cfRule>
  </conditionalFormatting>
  <conditionalFormatting sqref="H499">
    <cfRule type="cellIs" dxfId="2861" priority="2075" operator="equal">
      <formula>0</formula>
    </cfRule>
  </conditionalFormatting>
  <conditionalFormatting sqref="H499">
    <cfRule type="cellIs" dxfId="2860" priority="2076" operator="equal">
      <formula>0</formula>
    </cfRule>
  </conditionalFormatting>
  <conditionalFormatting sqref="H499">
    <cfRule type="cellIs" dxfId="2859" priority="2077" operator="equal">
      <formula>0</formula>
    </cfRule>
  </conditionalFormatting>
  <conditionalFormatting sqref="H499">
    <cfRule type="cellIs" dxfId="2858" priority="2078" operator="equal">
      <formula>0</formula>
    </cfRule>
  </conditionalFormatting>
  <conditionalFormatting sqref="H499">
    <cfRule type="cellIs" dxfId="2857" priority="2079" operator="equal">
      <formula>0</formula>
    </cfRule>
  </conditionalFormatting>
  <conditionalFormatting sqref="H499">
    <cfRule type="cellIs" dxfId="2856" priority="2080" operator="equal">
      <formula>0</formula>
    </cfRule>
  </conditionalFormatting>
  <conditionalFormatting sqref="H499">
    <cfRule type="cellIs" dxfId="2855" priority="2081" operator="equal">
      <formula>0</formula>
    </cfRule>
  </conditionalFormatting>
  <conditionalFormatting sqref="H499">
    <cfRule type="cellIs" dxfId="2854" priority="2082" operator="equal">
      <formula>0</formula>
    </cfRule>
  </conditionalFormatting>
  <conditionalFormatting sqref="H499">
    <cfRule type="cellIs" dxfId="2853" priority="2083" operator="equal">
      <formula>0</formula>
    </cfRule>
  </conditionalFormatting>
  <conditionalFormatting sqref="H499">
    <cfRule type="cellIs" dxfId="2852" priority="2084" operator="equal">
      <formula>0</formula>
    </cfRule>
  </conditionalFormatting>
  <conditionalFormatting sqref="H499">
    <cfRule type="cellIs" dxfId="2851" priority="2085" operator="equal">
      <formula>0</formula>
    </cfRule>
  </conditionalFormatting>
  <conditionalFormatting sqref="H499">
    <cfRule type="cellIs" dxfId="2850" priority="2086" operator="equal">
      <formula>0</formula>
    </cfRule>
  </conditionalFormatting>
  <conditionalFormatting sqref="H499">
    <cfRule type="cellIs" dxfId="2849" priority="2087" operator="equal">
      <formula>0</formula>
    </cfRule>
  </conditionalFormatting>
  <conditionalFormatting sqref="H499">
    <cfRule type="cellIs" dxfId="2848" priority="2088" operator="equal">
      <formula>0</formula>
    </cfRule>
  </conditionalFormatting>
  <conditionalFormatting sqref="H499">
    <cfRule type="cellIs" dxfId="2847" priority="2089" operator="equal">
      <formula>0</formula>
    </cfRule>
  </conditionalFormatting>
  <conditionalFormatting sqref="H499">
    <cfRule type="cellIs" dxfId="2846" priority="2090" operator="equal">
      <formula>0</formula>
    </cfRule>
  </conditionalFormatting>
  <conditionalFormatting sqref="H499">
    <cfRule type="cellIs" dxfId="2845" priority="2091" operator="equal">
      <formula>0</formula>
    </cfRule>
  </conditionalFormatting>
  <conditionalFormatting sqref="H499">
    <cfRule type="cellIs" dxfId="2844" priority="2092" operator="equal">
      <formula>0</formula>
    </cfRule>
  </conditionalFormatting>
  <conditionalFormatting sqref="H499">
    <cfRule type="cellIs" dxfId="2843" priority="2093" operator="equal">
      <formula>0</formula>
    </cfRule>
  </conditionalFormatting>
  <conditionalFormatting sqref="H499">
    <cfRule type="cellIs" dxfId="2842" priority="2094" operator="equal">
      <formula>0</formula>
    </cfRule>
  </conditionalFormatting>
  <conditionalFormatting sqref="H499">
    <cfRule type="cellIs" dxfId="2841" priority="2095" operator="equal">
      <formula>0</formula>
    </cfRule>
  </conditionalFormatting>
  <conditionalFormatting sqref="H499">
    <cfRule type="cellIs" dxfId="2840" priority="2096" operator="equal">
      <formula>0</formula>
    </cfRule>
  </conditionalFormatting>
  <conditionalFormatting sqref="H499">
    <cfRule type="cellIs" dxfId="2839" priority="2097" operator="equal">
      <formula>0</formula>
    </cfRule>
  </conditionalFormatting>
  <conditionalFormatting sqref="H499">
    <cfRule type="cellIs" dxfId="2838" priority="2098" operator="equal">
      <formula>0</formula>
    </cfRule>
  </conditionalFormatting>
  <conditionalFormatting sqref="H499">
    <cfRule type="cellIs" dxfId="2837" priority="2099" operator="equal">
      <formula>0</formula>
    </cfRule>
  </conditionalFormatting>
  <conditionalFormatting sqref="H499">
    <cfRule type="cellIs" dxfId="2836" priority="2100" operator="equal">
      <formula>0</formula>
    </cfRule>
  </conditionalFormatting>
  <conditionalFormatting sqref="H499">
    <cfRule type="cellIs" dxfId="2835" priority="2101" operator="equal">
      <formula>0</formula>
    </cfRule>
  </conditionalFormatting>
  <conditionalFormatting sqref="H499">
    <cfRule type="cellIs" dxfId="2834" priority="2102" operator="equal">
      <formula>0</formula>
    </cfRule>
  </conditionalFormatting>
  <conditionalFormatting sqref="H499">
    <cfRule type="cellIs" dxfId="2833" priority="2103" operator="equal">
      <formula>0</formula>
    </cfRule>
  </conditionalFormatting>
  <conditionalFormatting sqref="H499">
    <cfRule type="cellIs" dxfId="2832" priority="2104" operator="equal">
      <formula>0</formula>
    </cfRule>
  </conditionalFormatting>
  <conditionalFormatting sqref="H543">
    <cfRule type="cellIs" dxfId="2831" priority="2105" operator="equal">
      <formula>0</formula>
    </cfRule>
  </conditionalFormatting>
  <conditionalFormatting sqref="H543">
    <cfRule type="cellIs" dxfId="2830" priority="2106" operator="equal">
      <formula>0</formula>
    </cfRule>
  </conditionalFormatting>
  <conditionalFormatting sqref="H543">
    <cfRule type="cellIs" dxfId="2829" priority="2107" operator="equal">
      <formula>0</formula>
    </cfRule>
  </conditionalFormatting>
  <conditionalFormatting sqref="H543">
    <cfRule type="cellIs" dxfId="2828" priority="2108" operator="equal">
      <formula>0</formula>
    </cfRule>
  </conditionalFormatting>
  <conditionalFormatting sqref="H543">
    <cfRule type="cellIs" dxfId="2827" priority="2109" operator="equal">
      <formula>0</formula>
    </cfRule>
  </conditionalFormatting>
  <conditionalFormatting sqref="H543">
    <cfRule type="cellIs" dxfId="2826" priority="2110" operator="equal">
      <formula>0</formula>
    </cfRule>
  </conditionalFormatting>
  <conditionalFormatting sqref="H543">
    <cfRule type="cellIs" dxfId="2825" priority="2111" operator="equal">
      <formula>0</formula>
    </cfRule>
  </conditionalFormatting>
  <conditionalFormatting sqref="H543">
    <cfRule type="cellIs" dxfId="2824" priority="2112" operator="equal">
      <formula>0</formula>
    </cfRule>
  </conditionalFormatting>
  <conditionalFormatting sqref="H543">
    <cfRule type="cellIs" dxfId="2823" priority="2113" operator="equal">
      <formula>0</formula>
    </cfRule>
  </conditionalFormatting>
  <conditionalFormatting sqref="H543">
    <cfRule type="cellIs" dxfId="2822" priority="2114" operator="equal">
      <formula>0</formula>
    </cfRule>
  </conditionalFormatting>
  <conditionalFormatting sqref="H543">
    <cfRule type="cellIs" dxfId="2821" priority="2115" operator="equal">
      <formula>0</formula>
    </cfRule>
  </conditionalFormatting>
  <conditionalFormatting sqref="H543">
    <cfRule type="cellIs" dxfId="2820" priority="2116" operator="equal">
      <formula>0</formula>
    </cfRule>
  </conditionalFormatting>
  <conditionalFormatting sqref="H543">
    <cfRule type="cellIs" dxfId="2819" priority="2117" operator="equal">
      <formula>0</formula>
    </cfRule>
  </conditionalFormatting>
  <conditionalFormatting sqref="H543">
    <cfRule type="cellIs" dxfId="2818" priority="2118" operator="equal">
      <formula>0</formula>
    </cfRule>
  </conditionalFormatting>
  <conditionalFormatting sqref="H543">
    <cfRule type="cellIs" dxfId="2817" priority="2119" operator="equal">
      <formula>0</formula>
    </cfRule>
  </conditionalFormatting>
  <conditionalFormatting sqref="H543">
    <cfRule type="cellIs" dxfId="2816" priority="2120" operator="equal">
      <formula>0</formula>
    </cfRule>
  </conditionalFormatting>
  <conditionalFormatting sqref="H543">
    <cfRule type="cellIs" dxfId="2815" priority="2121" operator="equal">
      <formula>0</formula>
    </cfRule>
  </conditionalFormatting>
  <conditionalFormatting sqref="H543">
    <cfRule type="cellIs" dxfId="2814" priority="2122" operator="equal">
      <formula>0</formula>
    </cfRule>
  </conditionalFormatting>
  <conditionalFormatting sqref="H543">
    <cfRule type="cellIs" dxfId="2813" priority="2123" operator="equal">
      <formula>0</formula>
    </cfRule>
  </conditionalFormatting>
  <conditionalFormatting sqref="H543">
    <cfRule type="cellIs" dxfId="2812" priority="2124" operator="equal">
      <formula>0</formula>
    </cfRule>
  </conditionalFormatting>
  <conditionalFormatting sqref="H543">
    <cfRule type="cellIs" dxfId="2811" priority="2125" operator="equal">
      <formula>0</formula>
    </cfRule>
  </conditionalFormatting>
  <conditionalFormatting sqref="H543">
    <cfRule type="cellIs" dxfId="2810" priority="2126" operator="equal">
      <formula>0</formula>
    </cfRule>
  </conditionalFormatting>
  <conditionalFormatting sqref="H543">
    <cfRule type="cellIs" dxfId="2809" priority="2127" operator="equal">
      <formula>0</formula>
    </cfRule>
  </conditionalFormatting>
  <conditionalFormatting sqref="H543">
    <cfRule type="cellIs" dxfId="2808" priority="2128" operator="equal">
      <formula>0</formula>
    </cfRule>
  </conditionalFormatting>
  <conditionalFormatting sqref="H543">
    <cfRule type="cellIs" dxfId="2807" priority="2129" operator="equal">
      <formula>0</formula>
    </cfRule>
  </conditionalFormatting>
  <conditionalFormatting sqref="H543">
    <cfRule type="cellIs" dxfId="2806" priority="2130" operator="equal">
      <formula>0</formula>
    </cfRule>
  </conditionalFormatting>
  <conditionalFormatting sqref="H543">
    <cfRule type="cellIs" dxfId="2805" priority="2131" operator="equal">
      <formula>0</formula>
    </cfRule>
  </conditionalFormatting>
  <conditionalFormatting sqref="H543">
    <cfRule type="cellIs" dxfId="2804" priority="2132" operator="equal">
      <formula>0</formula>
    </cfRule>
  </conditionalFormatting>
  <conditionalFormatting sqref="H543">
    <cfRule type="cellIs" dxfId="2803" priority="2133" operator="equal">
      <formula>0</formula>
    </cfRule>
  </conditionalFormatting>
  <conditionalFormatting sqref="H543">
    <cfRule type="cellIs" dxfId="2802" priority="2134" operator="equal">
      <formula>0</formula>
    </cfRule>
  </conditionalFormatting>
  <conditionalFormatting sqref="H543">
    <cfRule type="cellIs" dxfId="2801" priority="2135" operator="equal">
      <formula>0</formula>
    </cfRule>
  </conditionalFormatting>
  <conditionalFormatting sqref="H543">
    <cfRule type="cellIs" dxfId="2800" priority="2136" operator="equal">
      <formula>0</formula>
    </cfRule>
  </conditionalFormatting>
  <conditionalFormatting sqref="H543">
    <cfRule type="cellIs" dxfId="2799" priority="2137" operator="equal">
      <formula>0</formula>
    </cfRule>
  </conditionalFormatting>
  <conditionalFormatting sqref="H543">
    <cfRule type="cellIs" dxfId="2798" priority="2138" operator="equal">
      <formula>0</formula>
    </cfRule>
  </conditionalFormatting>
  <conditionalFormatting sqref="H543">
    <cfRule type="cellIs" dxfId="2797" priority="2139" operator="equal">
      <formula>0</formula>
    </cfRule>
  </conditionalFormatting>
  <conditionalFormatting sqref="H543">
    <cfRule type="cellIs" dxfId="2796" priority="2140" operator="equal">
      <formula>0</formula>
    </cfRule>
  </conditionalFormatting>
  <conditionalFormatting sqref="H543">
    <cfRule type="cellIs" dxfId="2795" priority="2141" operator="equal">
      <formula>0</formula>
    </cfRule>
  </conditionalFormatting>
  <conditionalFormatting sqref="H543">
    <cfRule type="cellIs" dxfId="2794" priority="2142" operator="equal">
      <formula>0</formula>
    </cfRule>
  </conditionalFormatting>
  <conditionalFormatting sqref="H543">
    <cfRule type="cellIs" dxfId="2793" priority="2143" operator="equal">
      <formula>0</formula>
    </cfRule>
  </conditionalFormatting>
  <conditionalFormatting sqref="H543">
    <cfRule type="cellIs" dxfId="2792" priority="2144" operator="equal">
      <formula>0</formula>
    </cfRule>
  </conditionalFormatting>
  <conditionalFormatting sqref="H543">
    <cfRule type="cellIs" dxfId="2791" priority="2145" operator="equal">
      <formula>0</formula>
    </cfRule>
  </conditionalFormatting>
  <conditionalFormatting sqref="H543">
    <cfRule type="cellIs" dxfId="2790" priority="2146" operator="equal">
      <formula>0</formula>
    </cfRule>
  </conditionalFormatting>
  <conditionalFormatting sqref="H543">
    <cfRule type="cellIs" dxfId="2789" priority="2147" operator="equal">
      <formula>0</formula>
    </cfRule>
  </conditionalFormatting>
  <conditionalFormatting sqref="H543">
    <cfRule type="cellIs" dxfId="2788" priority="2148" operator="equal">
      <formula>0</formula>
    </cfRule>
  </conditionalFormatting>
  <conditionalFormatting sqref="H543">
    <cfRule type="cellIs" dxfId="2787" priority="2149" operator="equal">
      <formula>0</formula>
    </cfRule>
  </conditionalFormatting>
  <conditionalFormatting sqref="H543">
    <cfRule type="cellIs" dxfId="2786" priority="2150" operator="equal">
      <formula>0</formula>
    </cfRule>
  </conditionalFormatting>
  <conditionalFormatting sqref="H543">
    <cfRule type="cellIs" dxfId="2785" priority="2151" operator="equal">
      <formula>0</formula>
    </cfRule>
  </conditionalFormatting>
  <conditionalFormatting sqref="H543">
    <cfRule type="cellIs" dxfId="2784" priority="2152" operator="equal">
      <formula>0</formula>
    </cfRule>
  </conditionalFormatting>
  <conditionalFormatting sqref="H543">
    <cfRule type="cellIs" dxfId="2783" priority="2153" operator="equal">
      <formula>0</formula>
    </cfRule>
  </conditionalFormatting>
  <conditionalFormatting sqref="H543">
    <cfRule type="cellIs" dxfId="2782" priority="2154" operator="equal">
      <formula>0</formula>
    </cfRule>
  </conditionalFormatting>
  <conditionalFormatting sqref="H543">
    <cfRule type="cellIs" dxfId="2781" priority="2155" operator="equal">
      <formula>0</formula>
    </cfRule>
  </conditionalFormatting>
  <conditionalFormatting sqref="H543">
    <cfRule type="cellIs" dxfId="2780" priority="2156" operator="equal">
      <formula>0</formula>
    </cfRule>
  </conditionalFormatting>
  <conditionalFormatting sqref="H543">
    <cfRule type="cellIs" dxfId="2779" priority="2157" operator="equal">
      <formula>0</formula>
    </cfRule>
  </conditionalFormatting>
  <conditionalFormatting sqref="H543">
    <cfRule type="cellIs" dxfId="2778" priority="2158" operator="equal">
      <formula>0</formula>
    </cfRule>
  </conditionalFormatting>
  <conditionalFormatting sqref="H543">
    <cfRule type="cellIs" dxfId="2777" priority="2159" operator="equal">
      <formula>0</formula>
    </cfRule>
  </conditionalFormatting>
  <conditionalFormatting sqref="H543">
    <cfRule type="cellIs" dxfId="2776" priority="2160" operator="equal">
      <formula>0</formula>
    </cfRule>
  </conditionalFormatting>
  <conditionalFormatting sqref="H543">
    <cfRule type="cellIs" dxfId="2775" priority="2161" operator="equal">
      <formula>0</formula>
    </cfRule>
  </conditionalFormatting>
  <conditionalFormatting sqref="H543">
    <cfRule type="cellIs" dxfId="2774" priority="2162" operator="equal">
      <formula>0</formula>
    </cfRule>
  </conditionalFormatting>
  <conditionalFormatting sqref="H543">
    <cfRule type="cellIs" dxfId="2773" priority="2163" operator="equal">
      <formula>0</formula>
    </cfRule>
  </conditionalFormatting>
  <conditionalFormatting sqref="H543">
    <cfRule type="cellIs" dxfId="2772" priority="2164" operator="equal">
      <formula>0</formula>
    </cfRule>
  </conditionalFormatting>
  <conditionalFormatting sqref="H543">
    <cfRule type="cellIs" dxfId="2771" priority="2165" operator="equal">
      <formula>0</formula>
    </cfRule>
  </conditionalFormatting>
  <conditionalFormatting sqref="H543">
    <cfRule type="cellIs" dxfId="2770" priority="2166" operator="equal">
      <formula>0</formula>
    </cfRule>
  </conditionalFormatting>
  <conditionalFormatting sqref="H543">
    <cfRule type="cellIs" dxfId="2769" priority="2167" operator="equal">
      <formula>0</formula>
    </cfRule>
  </conditionalFormatting>
  <conditionalFormatting sqref="H543">
    <cfRule type="cellIs" dxfId="2768" priority="2168" operator="equal">
      <formula>0</formula>
    </cfRule>
  </conditionalFormatting>
  <conditionalFormatting sqref="H543">
    <cfRule type="cellIs" dxfId="2767" priority="2169" operator="equal">
      <formula>0</formula>
    </cfRule>
  </conditionalFormatting>
  <conditionalFormatting sqref="H543">
    <cfRule type="cellIs" dxfId="2766" priority="2170" operator="equal">
      <formula>0</formula>
    </cfRule>
  </conditionalFormatting>
  <conditionalFormatting sqref="H543">
    <cfRule type="cellIs" dxfId="2765" priority="2171" operator="equal">
      <formula>0</formula>
    </cfRule>
  </conditionalFormatting>
  <conditionalFormatting sqref="H543">
    <cfRule type="cellIs" dxfId="2764" priority="2172" operator="equal">
      <formula>0</formula>
    </cfRule>
  </conditionalFormatting>
  <conditionalFormatting sqref="H543">
    <cfRule type="cellIs" dxfId="2763" priority="2173" operator="equal">
      <formula>0</formula>
    </cfRule>
  </conditionalFormatting>
  <conditionalFormatting sqref="H543">
    <cfRule type="cellIs" dxfId="2762" priority="2174" operator="equal">
      <formula>0</formula>
    </cfRule>
  </conditionalFormatting>
  <conditionalFormatting sqref="H543">
    <cfRule type="cellIs" dxfId="2761" priority="2175" operator="equal">
      <formula>0</formula>
    </cfRule>
  </conditionalFormatting>
  <conditionalFormatting sqref="H543">
    <cfRule type="cellIs" dxfId="2760" priority="2176" operator="equal">
      <formula>0</formula>
    </cfRule>
  </conditionalFormatting>
  <conditionalFormatting sqref="H543">
    <cfRule type="cellIs" dxfId="2759" priority="2177" operator="equal">
      <formula>0</formula>
    </cfRule>
  </conditionalFormatting>
  <conditionalFormatting sqref="H543">
    <cfRule type="cellIs" dxfId="2758" priority="2178" operator="equal">
      <formula>0</formula>
    </cfRule>
  </conditionalFormatting>
  <conditionalFormatting sqref="H543">
    <cfRule type="cellIs" dxfId="2757" priority="2179" operator="equal">
      <formula>0</formula>
    </cfRule>
  </conditionalFormatting>
  <conditionalFormatting sqref="H543">
    <cfRule type="cellIs" dxfId="2756" priority="2180" operator="equal">
      <formula>0</formula>
    </cfRule>
  </conditionalFormatting>
  <conditionalFormatting sqref="H543">
    <cfRule type="cellIs" dxfId="2755" priority="2181" operator="equal">
      <formula>0</formula>
    </cfRule>
  </conditionalFormatting>
  <conditionalFormatting sqref="H543">
    <cfRule type="cellIs" dxfId="2754" priority="2182" operator="equal">
      <formula>0</formula>
    </cfRule>
  </conditionalFormatting>
  <conditionalFormatting sqref="H543">
    <cfRule type="cellIs" dxfId="2753" priority="2183" operator="equal">
      <formula>0</formula>
    </cfRule>
  </conditionalFormatting>
  <conditionalFormatting sqref="H543">
    <cfRule type="cellIs" dxfId="2752" priority="2184" operator="equal">
      <formula>0</formula>
    </cfRule>
  </conditionalFormatting>
  <conditionalFormatting sqref="H543">
    <cfRule type="cellIs" dxfId="2751" priority="2185" operator="equal">
      <formula>0</formula>
    </cfRule>
  </conditionalFormatting>
  <conditionalFormatting sqref="H543">
    <cfRule type="cellIs" dxfId="2750" priority="2186" operator="equal">
      <formula>0</formula>
    </cfRule>
  </conditionalFormatting>
  <conditionalFormatting sqref="H543">
    <cfRule type="cellIs" dxfId="2749" priority="2187" operator="equal">
      <formula>0</formula>
    </cfRule>
  </conditionalFormatting>
  <conditionalFormatting sqref="H543">
    <cfRule type="cellIs" dxfId="2748" priority="2188" operator="equal">
      <formula>0</formula>
    </cfRule>
  </conditionalFormatting>
  <conditionalFormatting sqref="H543">
    <cfRule type="cellIs" dxfId="2747" priority="2189" operator="equal">
      <formula>0</formula>
    </cfRule>
  </conditionalFormatting>
  <conditionalFormatting sqref="H543">
    <cfRule type="cellIs" dxfId="2746" priority="2190" operator="equal">
      <formula>0</formula>
    </cfRule>
  </conditionalFormatting>
  <conditionalFormatting sqref="H543">
    <cfRule type="cellIs" dxfId="2745" priority="2191" operator="equal">
      <formula>0</formula>
    </cfRule>
  </conditionalFormatting>
  <conditionalFormatting sqref="H543">
    <cfRule type="cellIs" dxfId="2744" priority="2192" operator="equal">
      <formula>0</formula>
    </cfRule>
  </conditionalFormatting>
  <conditionalFormatting sqref="H543">
    <cfRule type="cellIs" dxfId="2743" priority="2193" operator="equal">
      <formula>0</formula>
    </cfRule>
  </conditionalFormatting>
  <conditionalFormatting sqref="H543">
    <cfRule type="cellIs" dxfId="2742" priority="2194" operator="equal">
      <formula>0</formula>
    </cfRule>
  </conditionalFormatting>
  <conditionalFormatting sqref="H543">
    <cfRule type="cellIs" dxfId="2741" priority="2195" operator="equal">
      <formula>0</formula>
    </cfRule>
  </conditionalFormatting>
  <conditionalFormatting sqref="H587">
    <cfRule type="cellIs" dxfId="2740" priority="2196" operator="equal">
      <formula>0</formula>
    </cfRule>
  </conditionalFormatting>
  <conditionalFormatting sqref="H587">
    <cfRule type="cellIs" dxfId="2739" priority="2197" operator="equal">
      <formula>0</formula>
    </cfRule>
  </conditionalFormatting>
  <conditionalFormatting sqref="H587">
    <cfRule type="cellIs" dxfId="2738" priority="2198" operator="equal">
      <formula>0</formula>
    </cfRule>
  </conditionalFormatting>
  <conditionalFormatting sqref="H587">
    <cfRule type="cellIs" dxfId="2737" priority="2199" operator="equal">
      <formula>0</formula>
    </cfRule>
  </conditionalFormatting>
  <conditionalFormatting sqref="H587">
    <cfRule type="cellIs" dxfId="2736" priority="2200" operator="equal">
      <formula>0</formula>
    </cfRule>
  </conditionalFormatting>
  <conditionalFormatting sqref="H587">
    <cfRule type="cellIs" dxfId="2735" priority="2201" operator="equal">
      <formula>0</formula>
    </cfRule>
  </conditionalFormatting>
  <conditionalFormatting sqref="H587">
    <cfRule type="cellIs" dxfId="2734" priority="2202" operator="equal">
      <formula>0</formula>
    </cfRule>
  </conditionalFormatting>
  <conditionalFormatting sqref="H587">
    <cfRule type="cellIs" dxfId="2733" priority="2203" operator="equal">
      <formula>0</formula>
    </cfRule>
  </conditionalFormatting>
  <conditionalFormatting sqref="H587">
    <cfRule type="cellIs" dxfId="2732" priority="2204" operator="equal">
      <formula>0</formula>
    </cfRule>
  </conditionalFormatting>
  <conditionalFormatting sqref="H587">
    <cfRule type="cellIs" dxfId="2731" priority="2205" operator="equal">
      <formula>0</formula>
    </cfRule>
  </conditionalFormatting>
  <conditionalFormatting sqref="H587">
    <cfRule type="cellIs" dxfId="2730" priority="2206" operator="equal">
      <formula>0</formula>
    </cfRule>
  </conditionalFormatting>
  <conditionalFormatting sqref="H587">
    <cfRule type="cellIs" dxfId="2729" priority="2207" operator="equal">
      <formula>0</formula>
    </cfRule>
  </conditionalFormatting>
  <conditionalFormatting sqref="H587">
    <cfRule type="cellIs" dxfId="2728" priority="2208" operator="equal">
      <formula>0</formula>
    </cfRule>
  </conditionalFormatting>
  <conditionalFormatting sqref="H587">
    <cfRule type="cellIs" dxfId="2727" priority="2209" operator="equal">
      <formula>0</formula>
    </cfRule>
  </conditionalFormatting>
  <conditionalFormatting sqref="H587">
    <cfRule type="cellIs" dxfId="2726" priority="2210" operator="equal">
      <formula>0</formula>
    </cfRule>
  </conditionalFormatting>
  <conditionalFormatting sqref="H587">
    <cfRule type="cellIs" dxfId="2725" priority="2211" operator="equal">
      <formula>0</formula>
    </cfRule>
  </conditionalFormatting>
  <conditionalFormatting sqref="H587">
    <cfRule type="cellIs" dxfId="2724" priority="2212" operator="equal">
      <formula>0</formula>
    </cfRule>
  </conditionalFormatting>
  <conditionalFormatting sqref="H587">
    <cfRule type="cellIs" dxfId="2723" priority="2213" operator="equal">
      <formula>0</formula>
    </cfRule>
  </conditionalFormatting>
  <conditionalFormatting sqref="H587">
    <cfRule type="cellIs" dxfId="2722" priority="2214" operator="equal">
      <formula>0</formula>
    </cfRule>
  </conditionalFormatting>
  <conditionalFormatting sqref="H587">
    <cfRule type="cellIs" dxfId="2721" priority="2215" operator="equal">
      <formula>0</formula>
    </cfRule>
  </conditionalFormatting>
  <conditionalFormatting sqref="H587">
    <cfRule type="cellIs" dxfId="2720" priority="2216" operator="equal">
      <formula>0</formula>
    </cfRule>
  </conditionalFormatting>
  <conditionalFormatting sqref="H587">
    <cfRule type="cellIs" dxfId="2719" priority="2217" operator="equal">
      <formula>0</formula>
    </cfRule>
  </conditionalFormatting>
  <conditionalFormatting sqref="H587">
    <cfRule type="cellIs" dxfId="2718" priority="2218" operator="equal">
      <formula>0</formula>
    </cfRule>
  </conditionalFormatting>
  <conditionalFormatting sqref="H587">
    <cfRule type="cellIs" dxfId="2717" priority="2219" operator="equal">
      <formula>0</formula>
    </cfRule>
  </conditionalFormatting>
  <conditionalFormatting sqref="H587">
    <cfRule type="cellIs" dxfId="2716" priority="2220" operator="equal">
      <formula>0</formula>
    </cfRule>
  </conditionalFormatting>
  <conditionalFormatting sqref="H587">
    <cfRule type="cellIs" dxfId="2715" priority="2221" operator="equal">
      <formula>0</formula>
    </cfRule>
  </conditionalFormatting>
  <conditionalFormatting sqref="H587">
    <cfRule type="cellIs" dxfId="2714" priority="2222" operator="equal">
      <formula>0</formula>
    </cfRule>
  </conditionalFormatting>
  <conditionalFormatting sqref="H587">
    <cfRule type="cellIs" dxfId="2713" priority="2223" operator="equal">
      <formula>0</formula>
    </cfRule>
  </conditionalFormatting>
  <conditionalFormatting sqref="H587">
    <cfRule type="cellIs" dxfId="2712" priority="2224" operator="equal">
      <formula>0</formula>
    </cfRule>
  </conditionalFormatting>
  <conditionalFormatting sqref="H587">
    <cfRule type="cellIs" dxfId="2711" priority="2225" operator="equal">
      <formula>0</formula>
    </cfRule>
  </conditionalFormatting>
  <conditionalFormatting sqref="H587">
    <cfRule type="cellIs" dxfId="2710" priority="2226" operator="equal">
      <formula>0</formula>
    </cfRule>
  </conditionalFormatting>
  <conditionalFormatting sqref="H587">
    <cfRule type="cellIs" dxfId="2709" priority="2227" operator="equal">
      <formula>0</formula>
    </cfRule>
  </conditionalFormatting>
  <conditionalFormatting sqref="H587">
    <cfRule type="cellIs" dxfId="2708" priority="2228" operator="equal">
      <formula>0</formula>
    </cfRule>
  </conditionalFormatting>
  <conditionalFormatting sqref="H587">
    <cfRule type="cellIs" dxfId="2707" priority="2229" operator="equal">
      <formula>0</formula>
    </cfRule>
  </conditionalFormatting>
  <conditionalFormatting sqref="H587">
    <cfRule type="cellIs" dxfId="2706" priority="2230" operator="equal">
      <formula>0</formula>
    </cfRule>
  </conditionalFormatting>
  <conditionalFormatting sqref="H587">
    <cfRule type="cellIs" dxfId="2705" priority="2231" operator="equal">
      <formula>0</formula>
    </cfRule>
  </conditionalFormatting>
  <conditionalFormatting sqref="H587">
    <cfRule type="cellIs" dxfId="2704" priority="2232" operator="equal">
      <formula>0</formula>
    </cfRule>
  </conditionalFormatting>
  <conditionalFormatting sqref="H587">
    <cfRule type="cellIs" dxfId="2703" priority="2233" operator="equal">
      <formula>0</formula>
    </cfRule>
  </conditionalFormatting>
  <conditionalFormatting sqref="H587">
    <cfRule type="cellIs" dxfId="2702" priority="2234" operator="equal">
      <formula>0</formula>
    </cfRule>
  </conditionalFormatting>
  <conditionalFormatting sqref="H587">
    <cfRule type="cellIs" dxfId="2701" priority="2235" operator="equal">
      <formula>0</formula>
    </cfRule>
  </conditionalFormatting>
  <conditionalFormatting sqref="H587">
    <cfRule type="cellIs" dxfId="2700" priority="2236" operator="equal">
      <formula>0</formula>
    </cfRule>
  </conditionalFormatting>
  <conditionalFormatting sqref="H587">
    <cfRule type="cellIs" dxfId="2699" priority="2237" operator="equal">
      <formula>0</formula>
    </cfRule>
  </conditionalFormatting>
  <conditionalFormatting sqref="H587">
    <cfRule type="cellIs" dxfId="2698" priority="2238" operator="equal">
      <formula>0</formula>
    </cfRule>
  </conditionalFormatting>
  <conditionalFormatting sqref="H587">
    <cfRule type="cellIs" dxfId="2697" priority="2239" operator="equal">
      <formula>0</formula>
    </cfRule>
  </conditionalFormatting>
  <conditionalFormatting sqref="H587">
    <cfRule type="cellIs" dxfId="2696" priority="2240" operator="equal">
      <formula>0</formula>
    </cfRule>
  </conditionalFormatting>
  <conditionalFormatting sqref="H587">
    <cfRule type="cellIs" dxfId="2695" priority="2241" operator="equal">
      <formula>0</formula>
    </cfRule>
  </conditionalFormatting>
  <conditionalFormatting sqref="H587">
    <cfRule type="cellIs" dxfId="2694" priority="2242" operator="equal">
      <formula>0</formula>
    </cfRule>
  </conditionalFormatting>
  <conditionalFormatting sqref="H587">
    <cfRule type="cellIs" dxfId="2693" priority="2243" operator="equal">
      <formula>0</formula>
    </cfRule>
  </conditionalFormatting>
  <conditionalFormatting sqref="H587">
    <cfRule type="cellIs" dxfId="2692" priority="2244" operator="equal">
      <formula>0</formula>
    </cfRule>
  </conditionalFormatting>
  <conditionalFormatting sqref="H587">
    <cfRule type="cellIs" dxfId="2691" priority="2245" operator="equal">
      <formula>0</formula>
    </cfRule>
  </conditionalFormatting>
  <conditionalFormatting sqref="H587">
    <cfRule type="cellIs" dxfId="2690" priority="2246" operator="equal">
      <formula>0</formula>
    </cfRule>
  </conditionalFormatting>
  <conditionalFormatting sqref="H587">
    <cfRule type="cellIs" dxfId="2689" priority="2247" operator="equal">
      <formula>0</formula>
    </cfRule>
  </conditionalFormatting>
  <conditionalFormatting sqref="H587">
    <cfRule type="cellIs" dxfId="2688" priority="2248" operator="equal">
      <formula>0</formula>
    </cfRule>
  </conditionalFormatting>
  <conditionalFormatting sqref="H587">
    <cfRule type="cellIs" dxfId="2687" priority="2249" operator="equal">
      <formula>0</formula>
    </cfRule>
  </conditionalFormatting>
  <conditionalFormatting sqref="H587">
    <cfRule type="cellIs" dxfId="2686" priority="2250" operator="equal">
      <formula>0</formula>
    </cfRule>
  </conditionalFormatting>
  <conditionalFormatting sqref="H587">
    <cfRule type="cellIs" dxfId="2685" priority="2251" operator="equal">
      <formula>0</formula>
    </cfRule>
  </conditionalFormatting>
  <conditionalFormatting sqref="H587">
    <cfRule type="cellIs" dxfId="2684" priority="2252" operator="equal">
      <formula>0</formula>
    </cfRule>
  </conditionalFormatting>
  <conditionalFormatting sqref="H587">
    <cfRule type="cellIs" dxfId="2683" priority="2253" operator="equal">
      <formula>0</formula>
    </cfRule>
  </conditionalFormatting>
  <conditionalFormatting sqref="H587">
    <cfRule type="cellIs" dxfId="2682" priority="2254" operator="equal">
      <formula>0</formula>
    </cfRule>
  </conditionalFormatting>
  <conditionalFormatting sqref="H587">
    <cfRule type="cellIs" dxfId="2681" priority="2255" operator="equal">
      <formula>0</formula>
    </cfRule>
  </conditionalFormatting>
  <conditionalFormatting sqref="H587">
    <cfRule type="cellIs" dxfId="2680" priority="2256" operator="equal">
      <formula>0</formula>
    </cfRule>
  </conditionalFormatting>
  <conditionalFormatting sqref="H587">
    <cfRule type="cellIs" dxfId="2679" priority="2257" operator="equal">
      <formula>0</formula>
    </cfRule>
  </conditionalFormatting>
  <conditionalFormatting sqref="H587">
    <cfRule type="cellIs" dxfId="2678" priority="2258" operator="equal">
      <formula>0</formula>
    </cfRule>
  </conditionalFormatting>
  <conditionalFormatting sqref="H587">
    <cfRule type="cellIs" dxfId="2677" priority="2259" operator="equal">
      <formula>0</formula>
    </cfRule>
  </conditionalFormatting>
  <conditionalFormatting sqref="H587">
    <cfRule type="cellIs" dxfId="2676" priority="2260" operator="equal">
      <formula>0</formula>
    </cfRule>
  </conditionalFormatting>
  <conditionalFormatting sqref="H587">
    <cfRule type="cellIs" dxfId="2675" priority="2261" operator="equal">
      <formula>0</formula>
    </cfRule>
  </conditionalFormatting>
  <conditionalFormatting sqref="H587">
    <cfRule type="cellIs" dxfId="2674" priority="2262" operator="equal">
      <formula>0</formula>
    </cfRule>
  </conditionalFormatting>
  <conditionalFormatting sqref="H587">
    <cfRule type="cellIs" dxfId="2673" priority="2263" operator="equal">
      <formula>0</formula>
    </cfRule>
  </conditionalFormatting>
  <conditionalFormatting sqref="H587">
    <cfRule type="cellIs" dxfId="2672" priority="2264" operator="equal">
      <formula>0</formula>
    </cfRule>
  </conditionalFormatting>
  <conditionalFormatting sqref="H587">
    <cfRule type="cellIs" dxfId="2671" priority="2265" operator="equal">
      <formula>0</formula>
    </cfRule>
  </conditionalFormatting>
  <conditionalFormatting sqref="H587">
    <cfRule type="cellIs" dxfId="2670" priority="2266" operator="equal">
      <formula>0</formula>
    </cfRule>
  </conditionalFormatting>
  <conditionalFormatting sqref="H587">
    <cfRule type="cellIs" dxfId="2669" priority="2267" operator="equal">
      <formula>0</formula>
    </cfRule>
  </conditionalFormatting>
  <conditionalFormatting sqref="H587">
    <cfRule type="cellIs" dxfId="2668" priority="2268" operator="equal">
      <formula>0</formula>
    </cfRule>
  </conditionalFormatting>
  <conditionalFormatting sqref="H587">
    <cfRule type="cellIs" dxfId="2667" priority="2269" operator="equal">
      <formula>0</formula>
    </cfRule>
  </conditionalFormatting>
  <conditionalFormatting sqref="H587">
    <cfRule type="cellIs" dxfId="2666" priority="2270" operator="equal">
      <formula>0</formula>
    </cfRule>
  </conditionalFormatting>
  <conditionalFormatting sqref="H587">
    <cfRule type="cellIs" dxfId="2665" priority="2271" operator="equal">
      <formula>0</formula>
    </cfRule>
  </conditionalFormatting>
  <conditionalFormatting sqref="H587">
    <cfRule type="cellIs" dxfId="2664" priority="2272" operator="equal">
      <formula>0</formula>
    </cfRule>
  </conditionalFormatting>
  <conditionalFormatting sqref="H587">
    <cfRule type="cellIs" dxfId="2663" priority="2273" operator="equal">
      <formula>0</formula>
    </cfRule>
  </conditionalFormatting>
  <conditionalFormatting sqref="H587">
    <cfRule type="cellIs" dxfId="2662" priority="2274" operator="equal">
      <formula>0</formula>
    </cfRule>
  </conditionalFormatting>
  <conditionalFormatting sqref="H587">
    <cfRule type="cellIs" dxfId="2661" priority="2275" operator="equal">
      <formula>0</formula>
    </cfRule>
  </conditionalFormatting>
  <conditionalFormatting sqref="H587">
    <cfRule type="cellIs" dxfId="2660" priority="2276" operator="equal">
      <formula>0</formula>
    </cfRule>
  </conditionalFormatting>
  <conditionalFormatting sqref="H587">
    <cfRule type="cellIs" dxfId="2659" priority="2277" operator="equal">
      <formula>0</formula>
    </cfRule>
  </conditionalFormatting>
  <conditionalFormatting sqref="H587">
    <cfRule type="cellIs" dxfId="2658" priority="2278" operator="equal">
      <formula>0</formula>
    </cfRule>
  </conditionalFormatting>
  <conditionalFormatting sqref="H587">
    <cfRule type="cellIs" dxfId="2657" priority="2279" operator="equal">
      <formula>0</formula>
    </cfRule>
  </conditionalFormatting>
  <conditionalFormatting sqref="H587">
    <cfRule type="cellIs" dxfId="2656" priority="2280" operator="equal">
      <formula>0</formula>
    </cfRule>
  </conditionalFormatting>
  <conditionalFormatting sqref="H587">
    <cfRule type="cellIs" dxfId="2655" priority="2281" operator="equal">
      <formula>0</formula>
    </cfRule>
  </conditionalFormatting>
  <conditionalFormatting sqref="H587">
    <cfRule type="cellIs" dxfId="2654" priority="2282" operator="equal">
      <formula>0</formula>
    </cfRule>
  </conditionalFormatting>
  <conditionalFormatting sqref="H587">
    <cfRule type="cellIs" dxfId="2653" priority="2283" operator="equal">
      <formula>0</formula>
    </cfRule>
  </conditionalFormatting>
  <conditionalFormatting sqref="H587">
    <cfRule type="cellIs" dxfId="2652" priority="2284" operator="equal">
      <formula>0</formula>
    </cfRule>
  </conditionalFormatting>
  <conditionalFormatting sqref="H587">
    <cfRule type="cellIs" dxfId="2651" priority="2285" operator="equal">
      <formula>0</formula>
    </cfRule>
  </conditionalFormatting>
  <conditionalFormatting sqref="H587">
    <cfRule type="cellIs" dxfId="2650" priority="2286" operator="equal">
      <formula>0</formula>
    </cfRule>
  </conditionalFormatting>
  <conditionalFormatting sqref="H631">
    <cfRule type="cellIs" dxfId="2649" priority="2287" operator="equal">
      <formula>0</formula>
    </cfRule>
  </conditionalFormatting>
  <conditionalFormatting sqref="H631">
    <cfRule type="cellIs" dxfId="2648" priority="2288" operator="equal">
      <formula>0</formula>
    </cfRule>
  </conditionalFormatting>
  <conditionalFormatting sqref="H631">
    <cfRule type="cellIs" dxfId="2647" priority="2289" operator="equal">
      <formula>0</formula>
    </cfRule>
  </conditionalFormatting>
  <conditionalFormatting sqref="H631">
    <cfRule type="cellIs" dxfId="2646" priority="2290" operator="equal">
      <formula>0</formula>
    </cfRule>
  </conditionalFormatting>
  <conditionalFormatting sqref="H631">
    <cfRule type="cellIs" dxfId="2645" priority="2291" operator="equal">
      <formula>0</formula>
    </cfRule>
  </conditionalFormatting>
  <conditionalFormatting sqref="H631">
    <cfRule type="cellIs" dxfId="2644" priority="2292" operator="equal">
      <formula>0</formula>
    </cfRule>
  </conditionalFormatting>
  <conditionalFormatting sqref="H631">
    <cfRule type="cellIs" dxfId="2643" priority="2293" operator="equal">
      <formula>0</formula>
    </cfRule>
  </conditionalFormatting>
  <conditionalFormatting sqref="H631">
    <cfRule type="cellIs" dxfId="2642" priority="2294" operator="equal">
      <formula>0</formula>
    </cfRule>
  </conditionalFormatting>
  <conditionalFormatting sqref="H631">
    <cfRule type="cellIs" dxfId="2641" priority="2295" operator="equal">
      <formula>0</formula>
    </cfRule>
  </conditionalFormatting>
  <conditionalFormatting sqref="H631">
    <cfRule type="cellIs" dxfId="2640" priority="2296" operator="equal">
      <formula>0</formula>
    </cfRule>
  </conditionalFormatting>
  <conditionalFormatting sqref="H631">
    <cfRule type="cellIs" dxfId="2639" priority="2297" operator="equal">
      <formula>0</formula>
    </cfRule>
  </conditionalFormatting>
  <conditionalFormatting sqref="H631">
    <cfRule type="cellIs" dxfId="2638" priority="2298" operator="equal">
      <formula>0</formula>
    </cfRule>
  </conditionalFormatting>
  <conditionalFormatting sqref="H631">
    <cfRule type="cellIs" dxfId="2637" priority="2299" operator="equal">
      <formula>0</formula>
    </cfRule>
  </conditionalFormatting>
  <conditionalFormatting sqref="H631">
    <cfRule type="cellIs" dxfId="2636" priority="2300" operator="equal">
      <formula>0</formula>
    </cfRule>
  </conditionalFormatting>
  <conditionalFormatting sqref="H631">
    <cfRule type="cellIs" dxfId="2635" priority="2301" operator="equal">
      <formula>0</formula>
    </cfRule>
  </conditionalFormatting>
  <conditionalFormatting sqref="H631">
    <cfRule type="cellIs" dxfId="2634" priority="2302" operator="equal">
      <formula>0</formula>
    </cfRule>
  </conditionalFormatting>
  <conditionalFormatting sqref="H631">
    <cfRule type="cellIs" dxfId="2633" priority="2303" operator="equal">
      <formula>0</formula>
    </cfRule>
  </conditionalFormatting>
  <conditionalFormatting sqref="H631">
    <cfRule type="cellIs" dxfId="2632" priority="2304" operator="equal">
      <formula>0</formula>
    </cfRule>
  </conditionalFormatting>
  <conditionalFormatting sqref="H631">
    <cfRule type="cellIs" dxfId="2631" priority="2305" operator="equal">
      <formula>0</formula>
    </cfRule>
  </conditionalFormatting>
  <conditionalFormatting sqref="H631">
    <cfRule type="cellIs" dxfId="2630" priority="2306" operator="equal">
      <formula>0</formula>
    </cfRule>
  </conditionalFormatting>
  <conditionalFormatting sqref="H631">
    <cfRule type="cellIs" dxfId="2629" priority="2307" operator="equal">
      <formula>0</formula>
    </cfRule>
  </conditionalFormatting>
  <conditionalFormatting sqref="H631">
    <cfRule type="cellIs" dxfId="2628" priority="2308" operator="equal">
      <formula>0</formula>
    </cfRule>
  </conditionalFormatting>
  <conditionalFormatting sqref="H631">
    <cfRule type="cellIs" dxfId="2627" priority="2309" operator="equal">
      <formula>0</formula>
    </cfRule>
  </conditionalFormatting>
  <conditionalFormatting sqref="H631">
    <cfRule type="cellIs" dxfId="2626" priority="2310" operator="equal">
      <formula>0</formula>
    </cfRule>
  </conditionalFormatting>
  <conditionalFormatting sqref="H631">
    <cfRule type="cellIs" dxfId="2625" priority="2311" operator="equal">
      <formula>0</formula>
    </cfRule>
  </conditionalFormatting>
  <conditionalFormatting sqref="H631">
    <cfRule type="cellIs" dxfId="2624" priority="2312" operator="equal">
      <formula>0</formula>
    </cfRule>
  </conditionalFormatting>
  <conditionalFormatting sqref="H631">
    <cfRule type="cellIs" dxfId="2623" priority="2313" operator="equal">
      <formula>0</formula>
    </cfRule>
  </conditionalFormatting>
  <conditionalFormatting sqref="H631">
    <cfRule type="cellIs" dxfId="2622" priority="2314" operator="equal">
      <formula>0</formula>
    </cfRule>
  </conditionalFormatting>
  <conditionalFormatting sqref="H631">
    <cfRule type="cellIs" dxfId="2621" priority="2315" operator="equal">
      <formula>0</formula>
    </cfRule>
  </conditionalFormatting>
  <conditionalFormatting sqref="H631">
    <cfRule type="cellIs" dxfId="2620" priority="2316" operator="equal">
      <formula>0</formula>
    </cfRule>
  </conditionalFormatting>
  <conditionalFormatting sqref="H631">
    <cfRule type="cellIs" dxfId="2619" priority="2317" operator="equal">
      <formula>0</formula>
    </cfRule>
  </conditionalFormatting>
  <conditionalFormatting sqref="H631">
    <cfRule type="cellIs" dxfId="2618" priority="2318" operator="equal">
      <formula>0</formula>
    </cfRule>
  </conditionalFormatting>
  <conditionalFormatting sqref="H631">
    <cfRule type="cellIs" dxfId="2617" priority="2319" operator="equal">
      <formula>0</formula>
    </cfRule>
  </conditionalFormatting>
  <conditionalFormatting sqref="H631">
    <cfRule type="cellIs" dxfId="2616" priority="2320" operator="equal">
      <formula>0</formula>
    </cfRule>
  </conditionalFormatting>
  <conditionalFormatting sqref="H631">
    <cfRule type="cellIs" dxfId="2615" priority="2321" operator="equal">
      <formula>0</formula>
    </cfRule>
  </conditionalFormatting>
  <conditionalFormatting sqref="H631">
    <cfRule type="cellIs" dxfId="2614" priority="2322" operator="equal">
      <formula>0</formula>
    </cfRule>
  </conditionalFormatting>
  <conditionalFormatting sqref="H631">
    <cfRule type="cellIs" dxfId="2613" priority="2323" operator="equal">
      <formula>0</formula>
    </cfRule>
  </conditionalFormatting>
  <conditionalFormatting sqref="H631">
    <cfRule type="cellIs" dxfId="2612" priority="2324" operator="equal">
      <formula>0</formula>
    </cfRule>
  </conditionalFormatting>
  <conditionalFormatting sqref="H631">
    <cfRule type="cellIs" dxfId="2611" priority="2325" operator="equal">
      <formula>0</formula>
    </cfRule>
  </conditionalFormatting>
  <conditionalFormatting sqref="H631">
    <cfRule type="cellIs" dxfId="2610" priority="2326" operator="equal">
      <formula>0</formula>
    </cfRule>
  </conditionalFormatting>
  <conditionalFormatting sqref="H631">
    <cfRule type="cellIs" dxfId="2609" priority="2327" operator="equal">
      <formula>0</formula>
    </cfRule>
  </conditionalFormatting>
  <conditionalFormatting sqref="H631">
    <cfRule type="cellIs" dxfId="2608" priority="2328" operator="equal">
      <formula>0</formula>
    </cfRule>
  </conditionalFormatting>
  <conditionalFormatting sqref="H631">
    <cfRule type="cellIs" dxfId="2607" priority="2329" operator="equal">
      <formula>0</formula>
    </cfRule>
  </conditionalFormatting>
  <conditionalFormatting sqref="H631">
    <cfRule type="cellIs" dxfId="2606" priority="2330" operator="equal">
      <formula>0</formula>
    </cfRule>
  </conditionalFormatting>
  <conditionalFormatting sqref="H631">
    <cfRule type="cellIs" dxfId="2605" priority="2331" operator="equal">
      <formula>0</formula>
    </cfRule>
  </conditionalFormatting>
  <conditionalFormatting sqref="H631">
    <cfRule type="cellIs" dxfId="2604" priority="2332" operator="equal">
      <formula>0</formula>
    </cfRule>
  </conditionalFormatting>
  <conditionalFormatting sqref="H631">
    <cfRule type="cellIs" dxfId="2603" priority="2333" operator="equal">
      <formula>0</formula>
    </cfRule>
  </conditionalFormatting>
  <conditionalFormatting sqref="H631">
    <cfRule type="cellIs" dxfId="2602" priority="2334" operator="equal">
      <formula>0</formula>
    </cfRule>
  </conditionalFormatting>
  <conditionalFormatting sqref="H631">
    <cfRule type="cellIs" dxfId="2601" priority="2335" operator="equal">
      <formula>0</formula>
    </cfRule>
  </conditionalFormatting>
  <conditionalFormatting sqref="H631">
    <cfRule type="cellIs" dxfId="2600" priority="2336" operator="equal">
      <formula>0</formula>
    </cfRule>
  </conditionalFormatting>
  <conditionalFormatting sqref="H631">
    <cfRule type="cellIs" dxfId="2599" priority="2337" operator="equal">
      <formula>0</formula>
    </cfRule>
  </conditionalFormatting>
  <conditionalFormatting sqref="H631">
    <cfRule type="cellIs" dxfId="2598" priority="2338" operator="equal">
      <formula>0</formula>
    </cfRule>
  </conditionalFormatting>
  <conditionalFormatting sqref="H631">
    <cfRule type="cellIs" dxfId="2597" priority="2339" operator="equal">
      <formula>0</formula>
    </cfRule>
  </conditionalFormatting>
  <conditionalFormatting sqref="H631">
    <cfRule type="cellIs" dxfId="2596" priority="2340" operator="equal">
      <formula>0</formula>
    </cfRule>
  </conditionalFormatting>
  <conditionalFormatting sqref="H631">
    <cfRule type="cellIs" dxfId="2595" priority="2341" operator="equal">
      <formula>0</formula>
    </cfRule>
  </conditionalFormatting>
  <conditionalFormatting sqref="H631">
    <cfRule type="cellIs" dxfId="2594" priority="2342" operator="equal">
      <formula>0</formula>
    </cfRule>
  </conditionalFormatting>
  <conditionalFormatting sqref="H631">
    <cfRule type="cellIs" dxfId="2593" priority="2343" operator="equal">
      <formula>0</formula>
    </cfRule>
  </conditionalFormatting>
  <conditionalFormatting sqref="H631">
    <cfRule type="cellIs" dxfId="2592" priority="2344" operator="equal">
      <formula>0</formula>
    </cfRule>
  </conditionalFormatting>
  <conditionalFormatting sqref="H631">
    <cfRule type="cellIs" dxfId="2591" priority="2345" operator="equal">
      <formula>0</formula>
    </cfRule>
  </conditionalFormatting>
  <conditionalFormatting sqref="H631">
    <cfRule type="cellIs" dxfId="2590" priority="2346" operator="equal">
      <formula>0</formula>
    </cfRule>
  </conditionalFormatting>
  <conditionalFormatting sqref="H631">
    <cfRule type="cellIs" dxfId="2589" priority="2347" operator="equal">
      <formula>0</formula>
    </cfRule>
  </conditionalFormatting>
  <conditionalFormatting sqref="H631">
    <cfRule type="cellIs" dxfId="2588" priority="2348" operator="equal">
      <formula>0</formula>
    </cfRule>
  </conditionalFormatting>
  <conditionalFormatting sqref="H631">
    <cfRule type="cellIs" dxfId="2587" priority="2349" operator="equal">
      <formula>0</formula>
    </cfRule>
  </conditionalFormatting>
  <conditionalFormatting sqref="H631">
    <cfRule type="cellIs" dxfId="2586" priority="2350" operator="equal">
      <formula>0</formula>
    </cfRule>
  </conditionalFormatting>
  <conditionalFormatting sqref="H631">
    <cfRule type="cellIs" dxfId="2585" priority="2351" operator="equal">
      <formula>0</formula>
    </cfRule>
  </conditionalFormatting>
  <conditionalFormatting sqref="H631">
    <cfRule type="cellIs" dxfId="2584" priority="2352" operator="equal">
      <formula>0</formula>
    </cfRule>
  </conditionalFormatting>
  <conditionalFormatting sqref="H631">
    <cfRule type="cellIs" dxfId="2583" priority="2353" operator="equal">
      <formula>0</formula>
    </cfRule>
  </conditionalFormatting>
  <conditionalFormatting sqref="H631">
    <cfRule type="cellIs" dxfId="2582" priority="2354" operator="equal">
      <formula>0</formula>
    </cfRule>
  </conditionalFormatting>
  <conditionalFormatting sqref="H631">
    <cfRule type="cellIs" dxfId="2581" priority="2355" operator="equal">
      <formula>0</formula>
    </cfRule>
  </conditionalFormatting>
  <conditionalFormatting sqref="H631">
    <cfRule type="cellIs" dxfId="2580" priority="2356" operator="equal">
      <formula>0</formula>
    </cfRule>
  </conditionalFormatting>
  <conditionalFormatting sqref="H631">
    <cfRule type="cellIs" dxfId="2579" priority="2357" operator="equal">
      <formula>0</formula>
    </cfRule>
  </conditionalFormatting>
  <conditionalFormatting sqref="H631">
    <cfRule type="cellIs" dxfId="2578" priority="2358" operator="equal">
      <formula>0</formula>
    </cfRule>
  </conditionalFormatting>
  <conditionalFormatting sqref="H631">
    <cfRule type="cellIs" dxfId="2577" priority="2359" operator="equal">
      <formula>0</formula>
    </cfRule>
  </conditionalFormatting>
  <conditionalFormatting sqref="H631">
    <cfRule type="cellIs" dxfId="2576" priority="2360" operator="equal">
      <formula>0</formula>
    </cfRule>
  </conditionalFormatting>
  <conditionalFormatting sqref="H631">
    <cfRule type="cellIs" dxfId="2575" priority="2361" operator="equal">
      <formula>0</formula>
    </cfRule>
  </conditionalFormatting>
  <conditionalFormatting sqref="H631">
    <cfRule type="cellIs" dxfId="2574" priority="2362" operator="equal">
      <formula>0</formula>
    </cfRule>
  </conditionalFormatting>
  <conditionalFormatting sqref="H631">
    <cfRule type="cellIs" dxfId="2573" priority="2363" operator="equal">
      <formula>0</formula>
    </cfRule>
  </conditionalFormatting>
  <conditionalFormatting sqref="H631">
    <cfRule type="cellIs" dxfId="2572" priority="2364" operator="equal">
      <formula>0</formula>
    </cfRule>
  </conditionalFormatting>
  <conditionalFormatting sqref="H631">
    <cfRule type="cellIs" dxfId="2571" priority="2365" operator="equal">
      <formula>0</formula>
    </cfRule>
  </conditionalFormatting>
  <conditionalFormatting sqref="H631">
    <cfRule type="cellIs" dxfId="2570" priority="2366" operator="equal">
      <formula>0</formula>
    </cfRule>
  </conditionalFormatting>
  <conditionalFormatting sqref="H631">
    <cfRule type="cellIs" dxfId="2569" priority="2367" operator="equal">
      <formula>0</formula>
    </cfRule>
  </conditionalFormatting>
  <conditionalFormatting sqref="H631">
    <cfRule type="cellIs" dxfId="2568" priority="2368" operator="equal">
      <formula>0</formula>
    </cfRule>
  </conditionalFormatting>
  <conditionalFormatting sqref="H631">
    <cfRule type="cellIs" dxfId="2567" priority="2369" operator="equal">
      <formula>0</formula>
    </cfRule>
  </conditionalFormatting>
  <conditionalFormatting sqref="H631">
    <cfRule type="cellIs" dxfId="2566" priority="2370" operator="equal">
      <formula>0</formula>
    </cfRule>
  </conditionalFormatting>
  <conditionalFormatting sqref="H631">
    <cfRule type="cellIs" dxfId="2565" priority="2371" operator="equal">
      <formula>0</formula>
    </cfRule>
  </conditionalFormatting>
  <conditionalFormatting sqref="H631">
    <cfRule type="cellIs" dxfId="2564" priority="2372" operator="equal">
      <formula>0</formula>
    </cfRule>
  </conditionalFormatting>
  <conditionalFormatting sqref="H631">
    <cfRule type="cellIs" dxfId="2563" priority="2373" operator="equal">
      <formula>0</formula>
    </cfRule>
  </conditionalFormatting>
  <conditionalFormatting sqref="H631">
    <cfRule type="cellIs" dxfId="2562" priority="2374" operator="equal">
      <formula>0</formula>
    </cfRule>
  </conditionalFormatting>
  <conditionalFormatting sqref="H631">
    <cfRule type="cellIs" dxfId="2561" priority="2375" operator="equal">
      <formula>0</formula>
    </cfRule>
  </conditionalFormatting>
  <conditionalFormatting sqref="H631">
    <cfRule type="cellIs" dxfId="2560" priority="2376" operator="equal">
      <formula>0</formula>
    </cfRule>
  </conditionalFormatting>
  <conditionalFormatting sqref="H631">
    <cfRule type="cellIs" dxfId="2559" priority="2377" operator="equal">
      <formula>0</formula>
    </cfRule>
  </conditionalFormatting>
  <conditionalFormatting sqref="H675">
    <cfRule type="cellIs" dxfId="2558" priority="2378" operator="equal">
      <formula>0</formula>
    </cfRule>
  </conditionalFormatting>
  <conditionalFormatting sqref="H675">
    <cfRule type="cellIs" dxfId="2557" priority="2379" operator="equal">
      <formula>0</formula>
    </cfRule>
  </conditionalFormatting>
  <conditionalFormatting sqref="H675">
    <cfRule type="cellIs" dxfId="2556" priority="2380" operator="equal">
      <formula>0</formula>
    </cfRule>
  </conditionalFormatting>
  <conditionalFormatting sqref="H675">
    <cfRule type="cellIs" dxfId="2555" priority="2381" operator="equal">
      <formula>0</formula>
    </cfRule>
  </conditionalFormatting>
  <conditionalFormatting sqref="H675">
    <cfRule type="cellIs" dxfId="2554" priority="2382" operator="equal">
      <formula>0</formula>
    </cfRule>
  </conditionalFormatting>
  <conditionalFormatting sqref="H675">
    <cfRule type="cellIs" dxfId="2553" priority="2383" operator="equal">
      <formula>0</formula>
    </cfRule>
  </conditionalFormatting>
  <conditionalFormatting sqref="H675">
    <cfRule type="cellIs" dxfId="2552" priority="2384" operator="equal">
      <formula>0</formula>
    </cfRule>
  </conditionalFormatting>
  <conditionalFormatting sqref="H675">
    <cfRule type="cellIs" dxfId="2551" priority="2385" operator="equal">
      <formula>0</formula>
    </cfRule>
  </conditionalFormatting>
  <conditionalFormatting sqref="H675">
    <cfRule type="cellIs" dxfId="2550" priority="2386" operator="equal">
      <formula>0</formula>
    </cfRule>
  </conditionalFormatting>
  <conditionalFormatting sqref="H675">
    <cfRule type="cellIs" dxfId="2549" priority="2387" operator="equal">
      <formula>0</formula>
    </cfRule>
  </conditionalFormatting>
  <conditionalFormatting sqref="H675">
    <cfRule type="cellIs" dxfId="2548" priority="2388" operator="equal">
      <formula>0</formula>
    </cfRule>
  </conditionalFormatting>
  <conditionalFormatting sqref="H675">
    <cfRule type="cellIs" dxfId="2547" priority="2389" operator="equal">
      <formula>0</formula>
    </cfRule>
  </conditionalFormatting>
  <conditionalFormatting sqref="H675">
    <cfRule type="cellIs" dxfId="2546" priority="2390" operator="equal">
      <formula>0</formula>
    </cfRule>
  </conditionalFormatting>
  <conditionalFormatting sqref="H675">
    <cfRule type="cellIs" dxfId="2545" priority="2391" operator="equal">
      <formula>0</formula>
    </cfRule>
  </conditionalFormatting>
  <conditionalFormatting sqref="H675">
    <cfRule type="cellIs" dxfId="2544" priority="2392" operator="equal">
      <formula>0</formula>
    </cfRule>
  </conditionalFormatting>
  <conditionalFormatting sqref="H675">
    <cfRule type="cellIs" dxfId="2543" priority="2393" operator="equal">
      <formula>0</formula>
    </cfRule>
  </conditionalFormatting>
  <conditionalFormatting sqref="H675">
    <cfRule type="cellIs" dxfId="2542" priority="2394" operator="equal">
      <formula>0</formula>
    </cfRule>
  </conditionalFormatting>
  <conditionalFormatting sqref="H675">
    <cfRule type="cellIs" dxfId="2541" priority="2395" operator="equal">
      <formula>0</formula>
    </cfRule>
  </conditionalFormatting>
  <conditionalFormatting sqref="H675">
    <cfRule type="cellIs" dxfId="2540" priority="2396" operator="equal">
      <formula>0</formula>
    </cfRule>
  </conditionalFormatting>
  <conditionalFormatting sqref="H675">
    <cfRule type="cellIs" dxfId="2539" priority="2397" operator="equal">
      <formula>0</formula>
    </cfRule>
  </conditionalFormatting>
  <conditionalFormatting sqref="H675">
    <cfRule type="cellIs" dxfId="2538" priority="2398" operator="equal">
      <formula>0</formula>
    </cfRule>
  </conditionalFormatting>
  <conditionalFormatting sqref="H675">
    <cfRule type="cellIs" dxfId="2537" priority="2399" operator="equal">
      <formula>0</formula>
    </cfRule>
  </conditionalFormatting>
  <conditionalFormatting sqref="H675">
    <cfRule type="cellIs" dxfId="2536" priority="2400" operator="equal">
      <formula>0</formula>
    </cfRule>
  </conditionalFormatting>
  <conditionalFormatting sqref="H675">
    <cfRule type="cellIs" dxfId="2535" priority="2401" operator="equal">
      <formula>0</formula>
    </cfRule>
  </conditionalFormatting>
  <conditionalFormatting sqref="H675">
    <cfRule type="cellIs" dxfId="2534" priority="2402" operator="equal">
      <formula>0</formula>
    </cfRule>
  </conditionalFormatting>
  <conditionalFormatting sqref="H675">
    <cfRule type="cellIs" dxfId="2533" priority="2403" operator="equal">
      <formula>0</formula>
    </cfRule>
  </conditionalFormatting>
  <conditionalFormatting sqref="H675">
    <cfRule type="cellIs" dxfId="2532" priority="2404" operator="equal">
      <formula>0</formula>
    </cfRule>
  </conditionalFormatting>
  <conditionalFormatting sqref="H675">
    <cfRule type="cellIs" dxfId="2531" priority="2405" operator="equal">
      <formula>0</formula>
    </cfRule>
  </conditionalFormatting>
  <conditionalFormatting sqref="H675">
    <cfRule type="cellIs" dxfId="2530" priority="2406" operator="equal">
      <formula>0</formula>
    </cfRule>
  </conditionalFormatting>
  <conditionalFormatting sqref="H675">
    <cfRule type="cellIs" dxfId="2529" priority="2407" operator="equal">
      <formula>0</formula>
    </cfRule>
  </conditionalFormatting>
  <conditionalFormatting sqref="H675">
    <cfRule type="cellIs" dxfId="2528" priority="2408" operator="equal">
      <formula>0</formula>
    </cfRule>
  </conditionalFormatting>
  <conditionalFormatting sqref="H675">
    <cfRule type="cellIs" dxfId="2527" priority="2409" operator="equal">
      <formula>0</formula>
    </cfRule>
  </conditionalFormatting>
  <conditionalFormatting sqref="H675">
    <cfRule type="cellIs" dxfId="2526" priority="2410" operator="equal">
      <formula>0</formula>
    </cfRule>
  </conditionalFormatting>
  <conditionalFormatting sqref="H675">
    <cfRule type="cellIs" dxfId="2525" priority="2411" operator="equal">
      <formula>0</formula>
    </cfRule>
  </conditionalFormatting>
  <conditionalFormatting sqref="H675">
    <cfRule type="cellIs" dxfId="2524" priority="2412" operator="equal">
      <formula>0</formula>
    </cfRule>
  </conditionalFormatting>
  <conditionalFormatting sqref="H675">
    <cfRule type="cellIs" dxfId="2523" priority="2413" operator="equal">
      <formula>0</formula>
    </cfRule>
  </conditionalFormatting>
  <conditionalFormatting sqref="H675">
    <cfRule type="cellIs" dxfId="2522" priority="2414" operator="equal">
      <formula>0</formula>
    </cfRule>
  </conditionalFormatting>
  <conditionalFormatting sqref="H675">
    <cfRule type="cellIs" dxfId="2521" priority="2415" operator="equal">
      <formula>0</formula>
    </cfRule>
  </conditionalFormatting>
  <conditionalFormatting sqref="H675">
    <cfRule type="cellIs" dxfId="2520" priority="2416" operator="equal">
      <formula>0</formula>
    </cfRule>
  </conditionalFormatting>
  <conditionalFormatting sqref="H675">
    <cfRule type="cellIs" dxfId="2519" priority="2417" operator="equal">
      <formula>0</formula>
    </cfRule>
  </conditionalFormatting>
  <conditionalFormatting sqref="H675">
    <cfRule type="cellIs" dxfId="2518" priority="2418" operator="equal">
      <formula>0</formula>
    </cfRule>
  </conditionalFormatting>
  <conditionalFormatting sqref="H675">
    <cfRule type="cellIs" dxfId="2517" priority="2419" operator="equal">
      <formula>0</formula>
    </cfRule>
  </conditionalFormatting>
  <conditionalFormatting sqref="H675">
    <cfRule type="cellIs" dxfId="2516" priority="2420" operator="equal">
      <formula>0</formula>
    </cfRule>
  </conditionalFormatting>
  <conditionalFormatting sqref="H675">
    <cfRule type="cellIs" dxfId="2515" priority="2421" operator="equal">
      <formula>0</formula>
    </cfRule>
  </conditionalFormatting>
  <conditionalFormatting sqref="H675">
    <cfRule type="cellIs" dxfId="2514" priority="2422" operator="equal">
      <formula>0</formula>
    </cfRule>
  </conditionalFormatting>
  <conditionalFormatting sqref="H675">
    <cfRule type="cellIs" dxfId="2513" priority="2423" operator="equal">
      <formula>0</formula>
    </cfRule>
  </conditionalFormatting>
  <conditionalFormatting sqref="H675">
    <cfRule type="cellIs" dxfId="2512" priority="2424" operator="equal">
      <formula>0</formula>
    </cfRule>
  </conditionalFormatting>
  <conditionalFormatting sqref="H675">
    <cfRule type="cellIs" dxfId="2511" priority="2425" operator="equal">
      <formula>0</formula>
    </cfRule>
  </conditionalFormatting>
  <conditionalFormatting sqref="H675">
    <cfRule type="cellIs" dxfId="2510" priority="2426" operator="equal">
      <formula>0</formula>
    </cfRule>
  </conditionalFormatting>
  <conditionalFormatting sqref="H675">
    <cfRule type="cellIs" dxfId="2509" priority="2427" operator="equal">
      <formula>0</formula>
    </cfRule>
  </conditionalFormatting>
  <conditionalFormatting sqref="H675">
    <cfRule type="cellIs" dxfId="2508" priority="2428" operator="equal">
      <formula>0</formula>
    </cfRule>
  </conditionalFormatting>
  <conditionalFormatting sqref="H675">
    <cfRule type="cellIs" dxfId="2507" priority="2429" operator="equal">
      <formula>0</formula>
    </cfRule>
  </conditionalFormatting>
  <conditionalFormatting sqref="H675">
    <cfRule type="cellIs" dxfId="2506" priority="2430" operator="equal">
      <formula>0</formula>
    </cfRule>
  </conditionalFormatting>
  <conditionalFormatting sqref="H675">
    <cfRule type="cellIs" dxfId="2505" priority="2431" operator="equal">
      <formula>0</formula>
    </cfRule>
  </conditionalFormatting>
  <conditionalFormatting sqref="H675">
    <cfRule type="cellIs" dxfId="2504" priority="2432" operator="equal">
      <formula>0</formula>
    </cfRule>
  </conditionalFormatting>
  <conditionalFormatting sqref="H675">
    <cfRule type="cellIs" dxfId="2503" priority="2433" operator="equal">
      <formula>0</formula>
    </cfRule>
  </conditionalFormatting>
  <conditionalFormatting sqref="H675">
    <cfRule type="cellIs" dxfId="2502" priority="2434" operator="equal">
      <formula>0</formula>
    </cfRule>
  </conditionalFormatting>
  <conditionalFormatting sqref="H675">
    <cfRule type="cellIs" dxfId="2501" priority="2435" operator="equal">
      <formula>0</formula>
    </cfRule>
  </conditionalFormatting>
  <conditionalFormatting sqref="H675">
    <cfRule type="cellIs" dxfId="2500" priority="2436" operator="equal">
      <formula>0</formula>
    </cfRule>
  </conditionalFormatting>
  <conditionalFormatting sqref="H675">
    <cfRule type="cellIs" dxfId="2499" priority="2437" operator="equal">
      <formula>0</formula>
    </cfRule>
  </conditionalFormatting>
  <conditionalFormatting sqref="H675">
    <cfRule type="cellIs" dxfId="2498" priority="2438" operator="equal">
      <formula>0</formula>
    </cfRule>
  </conditionalFormatting>
  <conditionalFormatting sqref="H675">
    <cfRule type="cellIs" dxfId="2497" priority="2439" operator="equal">
      <formula>0</formula>
    </cfRule>
  </conditionalFormatting>
  <conditionalFormatting sqref="H675">
    <cfRule type="cellIs" dxfId="2496" priority="2440" operator="equal">
      <formula>0</formula>
    </cfRule>
  </conditionalFormatting>
  <conditionalFormatting sqref="H675">
    <cfRule type="cellIs" dxfId="2495" priority="2441" operator="equal">
      <formula>0</formula>
    </cfRule>
  </conditionalFormatting>
  <conditionalFormatting sqref="H675">
    <cfRule type="cellIs" dxfId="2494" priority="2442" operator="equal">
      <formula>0</formula>
    </cfRule>
  </conditionalFormatting>
  <conditionalFormatting sqref="H675">
    <cfRule type="cellIs" dxfId="2493" priority="2443" operator="equal">
      <formula>0</formula>
    </cfRule>
  </conditionalFormatting>
  <conditionalFormatting sqref="H675">
    <cfRule type="cellIs" dxfId="2492" priority="2444" operator="equal">
      <formula>0</formula>
    </cfRule>
  </conditionalFormatting>
  <conditionalFormatting sqref="H675">
    <cfRule type="cellIs" dxfId="2491" priority="2445" operator="equal">
      <formula>0</formula>
    </cfRule>
  </conditionalFormatting>
  <conditionalFormatting sqref="H675">
    <cfRule type="cellIs" dxfId="2490" priority="2446" operator="equal">
      <formula>0</formula>
    </cfRule>
  </conditionalFormatting>
  <conditionalFormatting sqref="H675">
    <cfRule type="cellIs" dxfId="2489" priority="2447" operator="equal">
      <formula>0</formula>
    </cfRule>
  </conditionalFormatting>
  <conditionalFormatting sqref="H675">
    <cfRule type="cellIs" dxfId="2488" priority="2448" operator="equal">
      <formula>0</formula>
    </cfRule>
  </conditionalFormatting>
  <conditionalFormatting sqref="H675">
    <cfRule type="cellIs" dxfId="2487" priority="2449" operator="equal">
      <formula>0</formula>
    </cfRule>
  </conditionalFormatting>
  <conditionalFormatting sqref="H675">
    <cfRule type="cellIs" dxfId="2486" priority="2450" operator="equal">
      <formula>0</formula>
    </cfRule>
  </conditionalFormatting>
  <conditionalFormatting sqref="H675">
    <cfRule type="cellIs" dxfId="2485" priority="2451" operator="equal">
      <formula>0</formula>
    </cfRule>
  </conditionalFormatting>
  <conditionalFormatting sqref="H675">
    <cfRule type="cellIs" dxfId="2484" priority="2452" operator="equal">
      <formula>0</formula>
    </cfRule>
  </conditionalFormatting>
  <conditionalFormatting sqref="H675">
    <cfRule type="cellIs" dxfId="2483" priority="2453" operator="equal">
      <formula>0</formula>
    </cfRule>
  </conditionalFormatting>
  <conditionalFormatting sqref="H675">
    <cfRule type="cellIs" dxfId="2482" priority="2454" operator="equal">
      <formula>0</formula>
    </cfRule>
  </conditionalFormatting>
  <conditionalFormatting sqref="H675">
    <cfRule type="cellIs" dxfId="2481" priority="2455" operator="equal">
      <formula>0</formula>
    </cfRule>
  </conditionalFormatting>
  <conditionalFormatting sqref="H675">
    <cfRule type="cellIs" dxfId="2480" priority="2456" operator="equal">
      <formula>0</formula>
    </cfRule>
  </conditionalFormatting>
  <conditionalFormatting sqref="H675">
    <cfRule type="cellIs" dxfId="2479" priority="2457" operator="equal">
      <formula>0</formula>
    </cfRule>
  </conditionalFormatting>
  <conditionalFormatting sqref="H675">
    <cfRule type="cellIs" dxfId="2478" priority="2458" operator="equal">
      <formula>0</formula>
    </cfRule>
  </conditionalFormatting>
  <conditionalFormatting sqref="H675">
    <cfRule type="cellIs" dxfId="2477" priority="2459" operator="equal">
      <formula>0</formula>
    </cfRule>
  </conditionalFormatting>
  <conditionalFormatting sqref="H675">
    <cfRule type="cellIs" dxfId="2476" priority="2460" operator="equal">
      <formula>0</formula>
    </cfRule>
  </conditionalFormatting>
  <conditionalFormatting sqref="H675">
    <cfRule type="cellIs" dxfId="2475" priority="2461" operator="equal">
      <formula>0</formula>
    </cfRule>
  </conditionalFormatting>
  <conditionalFormatting sqref="H675">
    <cfRule type="cellIs" dxfId="2474" priority="2462" operator="equal">
      <formula>0</formula>
    </cfRule>
  </conditionalFormatting>
  <conditionalFormatting sqref="H675">
    <cfRule type="cellIs" dxfId="2473" priority="2463" operator="equal">
      <formula>0</formula>
    </cfRule>
  </conditionalFormatting>
  <conditionalFormatting sqref="H675">
    <cfRule type="cellIs" dxfId="2472" priority="2464" operator="equal">
      <formula>0</formula>
    </cfRule>
  </conditionalFormatting>
  <conditionalFormatting sqref="H675">
    <cfRule type="cellIs" dxfId="2471" priority="2465" operator="equal">
      <formula>0</formula>
    </cfRule>
  </conditionalFormatting>
  <conditionalFormatting sqref="H675">
    <cfRule type="cellIs" dxfId="2470" priority="2466" operator="equal">
      <formula>0</formula>
    </cfRule>
  </conditionalFormatting>
  <conditionalFormatting sqref="H675">
    <cfRule type="cellIs" dxfId="2469" priority="2467" operator="equal">
      <formula>0</formula>
    </cfRule>
  </conditionalFormatting>
  <conditionalFormatting sqref="H675">
    <cfRule type="cellIs" dxfId="2468" priority="2468" operator="equal">
      <formula>0</formula>
    </cfRule>
  </conditionalFormatting>
  <printOptions horizontalCentered="1"/>
  <pageMargins left="1.1023622047244095" right="0.51181102362204722" top="0.78740157480314965" bottom="1.1811023622047245" header="0" footer="0"/>
  <pageSetup paperSize="9" scale="80" orientation="landscape"/>
  <headerFooter>
    <oddHeader>&amp;CDEMOLIÇÕES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Z1000"/>
  <sheetViews>
    <sheetView workbookViewId="0">
      <selection activeCell="Q38" sqref="Q38"/>
    </sheetView>
  </sheetViews>
  <sheetFormatPr defaultColWidth="14.42578125" defaultRowHeight="15" customHeight="1"/>
  <cols>
    <col min="1" max="1" width="14.7109375" customWidth="1"/>
    <col min="2" max="2" width="16.42578125" customWidth="1"/>
    <col min="3" max="3" width="80.5703125" customWidth="1"/>
    <col min="4" max="4" width="7" customWidth="1"/>
    <col min="5" max="5" width="7.140625" customWidth="1"/>
    <col min="6" max="6" width="10.85546875" customWidth="1"/>
    <col min="7" max="7" width="21" customWidth="1"/>
    <col min="8" max="8" width="24.85546875" customWidth="1"/>
    <col min="9" max="9" width="9.140625" customWidth="1"/>
    <col min="10" max="10" width="9.140625" hidden="1" customWidth="1"/>
    <col min="11" max="12" width="9.28515625" hidden="1" customWidth="1"/>
    <col min="13" max="13" width="9.140625" customWidth="1"/>
    <col min="14" max="26" width="8.7109375" customWidth="1"/>
  </cols>
  <sheetData>
    <row r="1" spans="1:26" ht="15" customHeight="1">
      <c r="C1" s="197" t="s">
        <v>320</v>
      </c>
      <c r="D1" s="198"/>
      <c r="E1" s="198"/>
      <c r="F1" s="199"/>
      <c r="G1" s="22" t="s">
        <v>269</v>
      </c>
      <c r="H1" s="23"/>
      <c r="I1" s="24"/>
      <c r="J1" s="24"/>
      <c r="K1" s="200" t="s">
        <v>270</v>
      </c>
      <c r="L1" s="201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6" ht="15" customHeight="1">
      <c r="A2" s="108" t="s">
        <v>271</v>
      </c>
      <c r="B2" s="108" t="s">
        <v>272</v>
      </c>
      <c r="C2" s="26" t="s">
        <v>273</v>
      </c>
      <c r="D2" s="26" t="s">
        <v>274</v>
      </c>
      <c r="E2" s="26" t="s">
        <v>8</v>
      </c>
      <c r="F2" s="27" t="s">
        <v>275</v>
      </c>
      <c r="G2" s="26" t="s">
        <v>276</v>
      </c>
      <c r="H2" s="26" t="s">
        <v>12</v>
      </c>
      <c r="I2" s="24"/>
      <c r="J2" s="24"/>
      <c r="K2" s="202"/>
      <c r="L2" s="20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6" ht="14.25" customHeight="1">
      <c r="A3" s="28" t="s">
        <v>277</v>
      </c>
      <c r="B3" s="28">
        <v>1</v>
      </c>
      <c r="C3" s="28" t="s">
        <v>278</v>
      </c>
      <c r="D3" s="29"/>
      <c r="E3" s="29"/>
      <c r="F3" s="29"/>
      <c r="G3" s="29"/>
      <c r="H3" s="29"/>
      <c r="I3" s="24"/>
      <c r="J3" s="24"/>
      <c r="K3" s="202"/>
      <c r="L3" s="20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6" ht="31.5" hidden="1" customHeight="1">
      <c r="A4" s="24"/>
      <c r="B4" s="30"/>
      <c r="C4" s="30"/>
      <c r="D4" s="30"/>
      <c r="E4" s="30"/>
      <c r="F4" s="30"/>
      <c r="G4" s="30"/>
      <c r="H4" s="30"/>
      <c r="I4" s="24"/>
      <c r="J4" s="24"/>
      <c r="K4" s="31"/>
      <c r="L4" s="32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25" customHeight="1">
      <c r="A5" s="33" t="s">
        <v>277</v>
      </c>
      <c r="B5" s="33" t="s">
        <v>2</v>
      </c>
      <c r="C5" s="34" t="str">
        <f>VLOOKUP(B5,'Composição dos serv'!A:I,3,FALSE)</f>
        <v>SERVIÇOS INICIAIS e PRELIMINARES</v>
      </c>
      <c r="D5" s="35"/>
      <c r="E5" s="35"/>
      <c r="F5" s="35"/>
      <c r="G5" s="35"/>
      <c r="H5" s="36"/>
      <c r="I5" s="24"/>
      <c r="J5" s="24"/>
      <c r="K5" s="31"/>
      <c r="L5" s="3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6" ht="14.25" hidden="1" customHeight="1">
      <c r="A6" s="26" t="s">
        <v>279</v>
      </c>
      <c r="B6" s="26" t="s">
        <v>15</v>
      </c>
      <c r="C6" s="37" t="str">
        <f>VLOOKUP(B6,'Composição dos serv'!A:I,3,FALSE)</f>
        <v>Placa de obra</v>
      </c>
      <c r="D6" s="26" t="str">
        <f>VLOOKUP(B6,'Composição dos serv'!A:I,4,FALSE)</f>
        <v>unid</v>
      </c>
      <c r="E6" s="37"/>
      <c r="F6" s="37"/>
      <c r="G6" s="38">
        <f>SUMIF('Composição dos serv'!A:A,'PESM Itutinga Piloes pt2'!B6,'Composição dos serv'!I:I)</f>
        <v>0</v>
      </c>
      <c r="H6" s="38">
        <f t="shared" ref="H6:H15" si="0">E6*G6</f>
        <v>0</v>
      </c>
      <c r="I6" s="24"/>
      <c r="J6" s="24"/>
      <c r="K6" s="39">
        <f>SUMIF('Composição dos serv'!A:A,B6,'Composição dos serv'!K:K)</f>
        <v>0.9</v>
      </c>
      <c r="L6" s="40">
        <f t="shared" ref="L6:L16" si="1">ROUNDUP(K6*E6,0)</f>
        <v>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6" ht="14.25" hidden="1" customHeight="1">
      <c r="A7" s="26" t="s">
        <v>279</v>
      </c>
      <c r="B7" s="26" t="s">
        <v>21</v>
      </c>
      <c r="C7" s="37" t="str">
        <f>VLOOKUP(B7,'Composição dos serv'!A:I,3,FALSE)</f>
        <v>Parecer técnico - avaliação de demolições em áreas de risco</v>
      </c>
      <c r="D7" s="26" t="str">
        <f>VLOOKUP(B7,'Composição dos serv'!A:I,4,FALSE)</f>
        <v>unid</v>
      </c>
      <c r="E7" s="37"/>
      <c r="F7" s="37"/>
      <c r="G7" s="38">
        <f>SUMIF('Composição dos serv'!A:A,'PESM Itutinga Piloes pt2'!B7,'Composição dos serv'!I:I)</f>
        <v>0</v>
      </c>
      <c r="H7" s="38">
        <f t="shared" si="0"/>
        <v>0</v>
      </c>
      <c r="I7" s="24"/>
      <c r="J7" s="24"/>
      <c r="K7" s="39">
        <f>SUMIF('Composição dos serv'!A:A,B7,'Composição dos serv'!K:K)</f>
        <v>0.6</v>
      </c>
      <c r="L7" s="40">
        <f t="shared" si="1"/>
        <v>0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6" ht="14.25" hidden="1" customHeight="1">
      <c r="A8" s="26" t="s">
        <v>279</v>
      </c>
      <c r="B8" s="26" t="s">
        <v>26</v>
      </c>
      <c r="C8" s="37" t="str">
        <f>VLOOKUP(B8,'Composição dos serv'!A:I,3,FALSE)</f>
        <v>Tapume para fechamento da obra</v>
      </c>
      <c r="D8" s="26" t="str">
        <f>VLOOKUP(B8,'Composição dos serv'!A:I,4,FALSE)</f>
        <v>m</v>
      </c>
      <c r="E8" s="37"/>
      <c r="F8" s="37"/>
      <c r="G8" s="38">
        <f>SUMIF('Composição dos serv'!A:A,'PESM Itutinga Piloes pt2'!B8,'Composição dos serv'!I:I)</f>
        <v>0</v>
      </c>
      <c r="H8" s="38">
        <f t="shared" si="0"/>
        <v>0</v>
      </c>
      <c r="I8" s="24"/>
      <c r="J8" s="24"/>
      <c r="K8" s="39">
        <f>SUMIF('Composição dos serv'!A:A,B8,'Composição dos serv'!K:K)</f>
        <v>0.24</v>
      </c>
      <c r="L8" s="40">
        <f t="shared" si="1"/>
        <v>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6" ht="14.25" hidden="1" customHeight="1">
      <c r="A9" s="26" t="s">
        <v>279</v>
      </c>
      <c r="B9" s="26" t="s">
        <v>31</v>
      </c>
      <c r="C9" s="37" t="str">
        <f>VLOOKUP(B9,'Composição dos serv'!A:I,3,FALSE)</f>
        <v>Abertura de trilha</v>
      </c>
      <c r="D9" s="26" t="str">
        <f>VLOOKUP(B9,'Composição dos serv'!A:I,4,FALSE)</f>
        <v>m</v>
      </c>
      <c r="E9" s="37"/>
      <c r="F9" s="37"/>
      <c r="G9" s="38">
        <f>SUMIF('Composição dos serv'!A:A,'PESM Itutinga Piloes pt2'!B9,'Composição dos serv'!I:I)</f>
        <v>0</v>
      </c>
      <c r="H9" s="38">
        <f t="shared" si="0"/>
        <v>0</v>
      </c>
      <c r="I9" s="24"/>
      <c r="J9" s="24"/>
      <c r="K9" s="39">
        <f>SUMIF('Composição dos serv'!A:A,B9,'Composição dos serv'!K:K)</f>
        <v>0.08</v>
      </c>
      <c r="L9" s="40">
        <f t="shared" si="1"/>
        <v>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6" ht="14.25" hidden="1" customHeight="1">
      <c r="A10" s="26" t="s">
        <v>279</v>
      </c>
      <c r="B10" s="26" t="s">
        <v>37</v>
      </c>
      <c r="C10" s="37" t="str">
        <f>VLOOKUP(B10,'Composição dos serv'!A:I,3,FALSE)</f>
        <v>Manutenção de estradas de acesso as obras</v>
      </c>
      <c r="D10" s="26" t="str">
        <f>VLOOKUP(B10,'Composição dos serv'!A:I,4,FALSE)</f>
        <v>m</v>
      </c>
      <c r="E10" s="37"/>
      <c r="F10" s="37"/>
      <c r="G10" s="38">
        <f>SUMIF('Composição dos serv'!A:A,'PESM Itutinga Piloes pt2'!B10,'Composição dos serv'!I:I)</f>
        <v>0</v>
      </c>
      <c r="H10" s="38">
        <f t="shared" si="0"/>
        <v>0</v>
      </c>
      <c r="I10" s="24"/>
      <c r="J10" s="24"/>
      <c r="K10" s="39">
        <f>SUMIF('Composição dos serv'!A:A,B10,'Composição dos serv'!K:K)</f>
        <v>0.08</v>
      </c>
      <c r="L10" s="40">
        <f t="shared" si="1"/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6" ht="14.25" hidden="1" customHeight="1">
      <c r="A11" s="26" t="s">
        <v>279</v>
      </c>
      <c r="B11" s="26" t="s">
        <v>44</v>
      </c>
      <c r="C11" s="42" t="str">
        <f>VLOOKUP(B11,'Composição dos serv'!A:I,3,FALSE)</f>
        <v>Construção provisória de abrigo para funcionarios com sua desmobilização e instalação de banheiro químico</v>
      </c>
      <c r="D11" s="26" t="str">
        <f>VLOOKUP(B11,'Composição dos serv'!A:I,4,FALSE)</f>
        <v>unid</v>
      </c>
      <c r="E11" s="37"/>
      <c r="F11" s="37"/>
      <c r="G11" s="38">
        <f>SUMIF('Composição dos serv'!A:A,'PESM Itutinga Piloes pt2'!B11,'Composição dos serv'!I:I)</f>
        <v>0</v>
      </c>
      <c r="H11" s="38">
        <f t="shared" si="0"/>
        <v>0</v>
      </c>
      <c r="I11" s="24"/>
      <c r="J11" s="24"/>
      <c r="K11" s="39">
        <f>SUMIF('Composição dos serv'!A:A,B11,'Composição dos serv'!K:K)</f>
        <v>4.1000000000000005</v>
      </c>
      <c r="L11" s="40">
        <f t="shared" si="1"/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6" ht="14.25" hidden="1" customHeight="1">
      <c r="A12" s="26" t="s">
        <v>279</v>
      </c>
      <c r="B12" s="26" t="s">
        <v>53</v>
      </c>
      <c r="C12" s="42" t="str">
        <f>VLOOKUP(B12,'Composição dos serv'!A:I,3,FALSE)</f>
        <v>Transporte Aquaviário</v>
      </c>
      <c r="D12" s="26" t="str">
        <f>VLOOKUP(B12,'Composição dos serv'!A:I,4,FALSE)</f>
        <v>mês</v>
      </c>
      <c r="E12" s="37"/>
      <c r="F12" s="37"/>
      <c r="G12" s="38">
        <f>SUMIF('Composição dos serv'!A:A,'PESM Itutinga Piloes pt2'!B12,'Composição dos serv'!I:I)</f>
        <v>0</v>
      </c>
      <c r="H12" s="38">
        <f t="shared" si="0"/>
        <v>0</v>
      </c>
      <c r="I12" s="24"/>
      <c r="J12" s="24"/>
      <c r="K12" s="39">
        <f>SUMIF('Composição dos serv'!A:A,B12,'Composição dos serv'!K:K)</f>
        <v>20</v>
      </c>
      <c r="L12" s="40">
        <f t="shared" si="1"/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6" ht="14.25" hidden="1" customHeight="1">
      <c r="A13" s="26" t="s">
        <v>279</v>
      </c>
      <c r="B13" s="26" t="s">
        <v>58</v>
      </c>
      <c r="C13" s="42" t="str">
        <f>VLOOKUP(B13,'Composição dos serv'!A:I,3,FALSE)</f>
        <v>Projeto e implementação de controle ambiental da obra</v>
      </c>
      <c r="D13" s="26" t="str">
        <f>VLOOKUP(B13,'Composição dos serv'!A:I,4,FALSE)</f>
        <v>unid</v>
      </c>
      <c r="E13" s="37"/>
      <c r="F13" s="37"/>
      <c r="G13" s="38">
        <f>SUMIF('Composição dos serv'!A:A,'PESM Itutinga Piloes pt2'!B13,'Composição dos serv'!I:I)</f>
        <v>0</v>
      </c>
      <c r="H13" s="38">
        <f t="shared" si="0"/>
        <v>0</v>
      </c>
      <c r="I13" s="24"/>
      <c r="J13" s="24"/>
      <c r="K13" s="39">
        <f>SUMIF('Composição dos serv'!A:A,B13,'Composição dos serv'!K:K)</f>
        <v>2</v>
      </c>
      <c r="L13" s="40">
        <f t="shared" si="1"/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6" ht="14.25" hidden="1" customHeight="1">
      <c r="A14" s="26" t="s">
        <v>279</v>
      </c>
      <c r="B14" s="26" t="s">
        <v>61</v>
      </c>
      <c r="C14" s="42" t="str">
        <f>VLOOKUP(B14,'Composição dos serv'!A:I,3,FALSE)</f>
        <v>Projeto e implementação de gerenciamento de resíduos sólidos</v>
      </c>
      <c r="D14" s="26" t="str">
        <f>VLOOKUP(B14,'Composição dos serv'!A:I,4,FALSE)</f>
        <v>unid</v>
      </c>
      <c r="E14" s="37"/>
      <c r="F14" s="37"/>
      <c r="G14" s="38">
        <f>SUMIF('Composição dos serv'!A:A,'PESM Itutinga Piloes pt2'!B14,'Composição dos serv'!I:I)</f>
        <v>0</v>
      </c>
      <c r="H14" s="38">
        <f t="shared" si="0"/>
        <v>0</v>
      </c>
      <c r="I14" s="24"/>
      <c r="J14" s="24"/>
      <c r="K14" s="39">
        <f>SUMIF('Composição dos serv'!A:A,B14,'Composição dos serv'!K:K)</f>
        <v>1.8</v>
      </c>
      <c r="L14" s="40">
        <f t="shared" si="1"/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6" ht="14.25" hidden="1" customHeight="1">
      <c r="A15" s="26" t="s">
        <v>279</v>
      </c>
      <c r="B15" s="26" t="s">
        <v>65</v>
      </c>
      <c r="C15" s="42">
        <f>VLOOKUP(B15,'Composição dos serv'!A:I,3,FALSE)</f>
        <v>0</v>
      </c>
      <c r="D15" s="26">
        <f>VLOOKUP(B15,'Composição dos serv'!A:I,4,FALSE)</f>
        <v>0</v>
      </c>
      <c r="E15" s="37"/>
      <c r="F15" s="37"/>
      <c r="G15" s="38">
        <f>SUMIF('Composição dos serv'!A:A,'PESM Itutinga Piloes pt2'!B15,'Composição dos serv'!I:I)</f>
        <v>0</v>
      </c>
      <c r="H15" s="38">
        <f t="shared" si="0"/>
        <v>0</v>
      </c>
      <c r="I15" s="24"/>
      <c r="J15" s="24"/>
      <c r="K15" s="39">
        <f>SUMIF('Composição dos serv'!A:A,B15,'Composição dos serv'!K:K)</f>
        <v>0</v>
      </c>
      <c r="L15" s="40">
        <f t="shared" si="1"/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6" ht="27" hidden="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39">
        <f>SUMIF('Composição dos serv'!A:A,'PESM Itutinga Piloes pt2'!B16,'Composição dos serv'!K:K)</f>
        <v>0</v>
      </c>
      <c r="L16" s="40">
        <f t="shared" si="1"/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4.25" customHeight="1">
      <c r="A17" s="28" t="str">
        <f>A3</f>
        <v>E0</v>
      </c>
      <c r="B17" s="204" t="str">
        <f>C3</f>
        <v>IMPLANTAÇÃO GERAL</v>
      </c>
      <c r="C17" s="170"/>
      <c r="D17" s="204" t="s">
        <v>280</v>
      </c>
      <c r="E17" s="169"/>
      <c r="F17" s="170"/>
      <c r="G17" s="43">
        <f>SUM(H6:H15)</f>
        <v>0</v>
      </c>
      <c r="H17" s="29"/>
      <c r="I17" s="24"/>
      <c r="J17" s="24"/>
      <c r="K17" s="205">
        <f>IF(L12&lt;&gt;0,L12,SUM(L6:L11)+SUM(L13:L14))</f>
        <v>0</v>
      </c>
      <c r="L17" s="20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6" ht="9.75" customHeight="1">
      <c r="A18" s="24"/>
      <c r="B18" s="44"/>
      <c r="C18" s="24"/>
      <c r="D18" s="44"/>
      <c r="E18" s="24"/>
      <c r="F18" s="24"/>
      <c r="G18" s="45"/>
      <c r="H18" s="45"/>
      <c r="I18" s="24"/>
      <c r="J18" s="24"/>
      <c r="K18" s="31"/>
      <c r="L18" s="3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9.5" customHeight="1">
      <c r="A19" s="46" t="s">
        <v>321</v>
      </c>
      <c r="B19" s="46">
        <v>2</v>
      </c>
      <c r="C19" s="47" t="s">
        <v>322</v>
      </c>
      <c r="D19" s="47"/>
      <c r="E19" s="47"/>
      <c r="F19" s="47"/>
      <c r="G19" s="47"/>
      <c r="H19" s="47"/>
      <c r="I19" s="24"/>
      <c r="J19" s="24"/>
      <c r="K19" s="31"/>
      <c r="L19" s="32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6" ht="6" hidden="1" customHeight="1">
      <c r="A20" s="30"/>
      <c r="B20" s="30"/>
      <c r="C20" s="30"/>
      <c r="D20" s="30"/>
      <c r="E20" s="30"/>
      <c r="F20" s="30"/>
      <c r="G20" s="30"/>
      <c r="H20" s="30"/>
      <c r="I20" s="24"/>
      <c r="J20" s="24"/>
      <c r="K20" s="31"/>
      <c r="L20" s="32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4.25" customHeight="1">
      <c r="A21" s="33" t="s">
        <v>323</v>
      </c>
      <c r="B21" s="33" t="s">
        <v>67</v>
      </c>
      <c r="C21" s="48" t="str">
        <f>VLOOKUP(B21,'Composição dos serv'!A:I,3,FALSE)</f>
        <v>DEMOLIÇÃO DE CALÇADAS E/OU CAMINHOS</v>
      </c>
      <c r="D21" s="48"/>
      <c r="E21" s="48"/>
      <c r="F21" s="48"/>
      <c r="G21" s="48"/>
      <c r="H21" s="48"/>
      <c r="I21" s="24"/>
      <c r="J21" s="24"/>
      <c r="K21" s="31"/>
      <c r="L21" s="32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6" ht="14.25" hidden="1" customHeight="1">
      <c r="A22" s="26" t="str">
        <f>A21</f>
        <v>D18.1</v>
      </c>
      <c r="B22" s="26" t="s">
        <v>69</v>
      </c>
      <c r="C22" s="49" t="str">
        <f>VLOOKUP(B22,'Composição dos serv'!A:I,3,FALSE)</f>
        <v>Demolição de calçada ou caminhos</v>
      </c>
      <c r="D22" s="50" t="str">
        <f>VLOOKUP(B22,'Composição dos serv'!A:I,4,FALSE)</f>
        <v>m²</v>
      </c>
      <c r="E22" s="49"/>
      <c r="F22" s="49">
        <f>ROUNDUP(E22*0.15,2)</f>
        <v>0</v>
      </c>
      <c r="G22" s="38">
        <f>SUMIF('Composição dos serv'!A:A,B22,'Composição dos serv'!I:I)</f>
        <v>0</v>
      </c>
      <c r="H22" s="51">
        <f t="shared" ref="H22:H23" si="2">E22*G22</f>
        <v>0</v>
      </c>
      <c r="I22" s="24"/>
      <c r="J22" s="24"/>
      <c r="K22" s="39">
        <f>SUMIF('Composição dos serv'!A:A,B22,'Composição dos serv'!K:K)</f>
        <v>0.12</v>
      </c>
      <c r="L22" s="40">
        <f t="shared" ref="L22:L52" si="3">ROUNDUP(K22*E22,0)</f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6" ht="14.25" hidden="1" customHeight="1">
      <c r="A23" s="26" t="str">
        <f>A21</f>
        <v>D18.1</v>
      </c>
      <c r="B23" s="26" t="s">
        <v>75</v>
      </c>
      <c r="C23" s="37" t="str">
        <f>VLOOKUP(B23,'Composição dos serv'!A:I,3,FALSE)</f>
        <v>Demolição de via Asfaltada, em paralelepípedo ou intertravados</v>
      </c>
      <c r="D23" s="26" t="str">
        <f>VLOOKUP(B23,'Composição dos serv'!A:I,4,FALSE)</f>
        <v>m²</v>
      </c>
      <c r="E23" s="37"/>
      <c r="F23" s="37">
        <f>ROUNDUP(E23*0.2,2)</f>
        <v>0</v>
      </c>
      <c r="G23" s="38">
        <f>SUMIF('Composição dos serv'!A:A,B23,'Composição dos serv'!I:I)</f>
        <v>0</v>
      </c>
      <c r="H23" s="38">
        <f t="shared" si="2"/>
        <v>0</v>
      </c>
      <c r="I23" s="24"/>
      <c r="J23" s="24"/>
      <c r="K23" s="39">
        <f>SUMIF('Composição dos serv'!A:A,B23,'Composição dos serv'!K:K)</f>
        <v>0.06</v>
      </c>
      <c r="L23" s="40">
        <f t="shared" si="3"/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6" ht="14.25" customHeight="1">
      <c r="A24" s="33" t="s">
        <v>324</v>
      </c>
      <c r="B24" s="33" t="s">
        <v>85</v>
      </c>
      <c r="C24" s="34" t="str">
        <f>VLOOKUP(B24,'Composição dos serv'!A:I,3,FALSE)</f>
        <v>DEMOLIÇÃO DE MUROS E CERCAS</v>
      </c>
      <c r="D24" s="35"/>
      <c r="E24" s="35"/>
      <c r="F24" s="35"/>
      <c r="G24" s="35"/>
      <c r="H24" s="36"/>
      <c r="I24" s="24"/>
      <c r="J24" s="24"/>
      <c r="K24" s="39">
        <f>SUMIF('Composição dos serv'!A:A,B24,'Composição dos serv'!K:K)</f>
        <v>0</v>
      </c>
      <c r="L24" s="40">
        <f t="shared" si="3"/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6" ht="14.25" customHeight="1">
      <c r="A25" s="26" t="str">
        <f>A24</f>
        <v>D18.2</v>
      </c>
      <c r="B25" s="26" t="s">
        <v>87</v>
      </c>
      <c r="C25" s="37" t="str">
        <f>VLOOKUP(B25,'Composição dos serv'!A:I,3,FALSE)</f>
        <v>Demolição de muro em alvenaria ou alambrados</v>
      </c>
      <c r="D25" s="26" t="str">
        <f>VLOOKUP(B25,'Composição dos serv'!A:I,4,FALSE)</f>
        <v>m</v>
      </c>
      <c r="E25" s="37">
        <v>15</v>
      </c>
      <c r="F25" s="37">
        <f>ROUNDUP(E25*0.2*2.4,2)</f>
        <v>7.2</v>
      </c>
      <c r="G25" s="38">
        <f>SUMIF('Composição dos serv'!A:A,B25,'Composição dos serv'!I:I)</f>
        <v>0</v>
      </c>
      <c r="H25" s="38">
        <f t="shared" ref="H25:H26" si="4">E25*G25</f>
        <v>0</v>
      </c>
      <c r="I25" s="24"/>
      <c r="J25" s="24"/>
      <c r="K25" s="39">
        <f>SUMIF('Composição dos serv'!A:A,B25,'Composição dos serv'!K:K)</f>
        <v>0.26</v>
      </c>
      <c r="L25" s="40">
        <f t="shared" si="3"/>
        <v>4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6" ht="14.25" customHeight="1">
      <c r="A26" s="26" t="str">
        <f>A24</f>
        <v>D18.2</v>
      </c>
      <c r="B26" s="26" t="s">
        <v>93</v>
      </c>
      <c r="C26" s="37" t="str">
        <f>VLOOKUP(B26,'Composição dos serv'!A:I,3,FALSE)</f>
        <v>Demolição de Cercas</v>
      </c>
      <c r="D26" s="26" t="str">
        <f>VLOOKUP(B26,'Composição dos serv'!A:I,4,FALSE)</f>
        <v>m</v>
      </c>
      <c r="E26" s="37">
        <v>300</v>
      </c>
      <c r="F26" s="37">
        <f>ROUNDUP(E26*0.1*1.8,2)</f>
        <v>54</v>
      </c>
      <c r="G26" s="38">
        <f>SUMIF('Composição dos serv'!A:A,B26,'Composição dos serv'!I:I)</f>
        <v>0</v>
      </c>
      <c r="H26" s="38">
        <f t="shared" si="4"/>
        <v>0</v>
      </c>
      <c r="I26" s="24"/>
      <c r="J26" s="24"/>
      <c r="K26" s="39">
        <f>SUMIF('Composição dos serv'!A:A,B26,'Composição dos serv'!K:K)</f>
        <v>0.06</v>
      </c>
      <c r="L26" s="40">
        <f t="shared" si="3"/>
        <v>18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6" ht="14.25" customHeight="1">
      <c r="A27" s="33" t="s">
        <v>325</v>
      </c>
      <c r="B27" s="33" t="s">
        <v>99</v>
      </c>
      <c r="C27" s="48" t="str">
        <f>VLOOKUP(B27,'Composição dos serv'!A:I,3,FALSE)</f>
        <v>COBERTURA</v>
      </c>
      <c r="D27" s="48"/>
      <c r="E27" s="48"/>
      <c r="F27" s="48"/>
      <c r="G27" s="48"/>
      <c r="H27" s="48"/>
      <c r="I27" s="24"/>
      <c r="J27" s="24"/>
      <c r="K27" s="39">
        <f>SUMIF('Composição dos serv'!A:A,B27,'Composição dos serv'!K:K)</f>
        <v>0</v>
      </c>
      <c r="L27" s="40">
        <f t="shared" si="3"/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6" ht="14.25" hidden="1" customHeight="1">
      <c r="A28" s="26" t="str">
        <f>A27</f>
        <v>D18.3</v>
      </c>
      <c r="B28" s="26" t="s">
        <v>101</v>
      </c>
      <c r="C28" s="37" t="str">
        <f>VLOOKUP(B28,'Composição dos serv'!A:I,3,FALSE)</f>
        <v>Retirada de Estrutura de madeira sem telhas</v>
      </c>
      <c r="D28" s="26" t="str">
        <f>VLOOKUP(B28,'Composição dos serv'!A:I,4,FALSE)</f>
        <v>m²</v>
      </c>
      <c r="E28" s="37"/>
      <c r="F28" s="37">
        <f>ROUNDUP(E28*0.2,2)</f>
        <v>0</v>
      </c>
      <c r="G28" s="38">
        <f>SUMIF('Composição dos serv'!A:A,B28,'Composição dos serv'!I:I)</f>
        <v>0</v>
      </c>
      <c r="H28" s="38">
        <f t="shared" ref="H28:H33" si="5">E28*G28</f>
        <v>0</v>
      </c>
      <c r="I28" s="24"/>
      <c r="J28" s="24"/>
      <c r="K28" s="39">
        <f>SUMIF('Composição dos serv'!A:A,B28,'Composição dos serv'!K:K)</f>
        <v>0.03</v>
      </c>
      <c r="L28" s="40">
        <f t="shared" si="3"/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6" ht="14.25" hidden="1" customHeight="1">
      <c r="A29" s="26" t="str">
        <f>A27</f>
        <v>D18.3</v>
      </c>
      <c r="B29" s="26" t="s">
        <v>105</v>
      </c>
      <c r="C29" s="37" t="str">
        <f>VLOOKUP(B29,'Composição dos serv'!A:I,3,FALSE)</f>
        <v>Retirada de Telhas de Barro com Estrutura em madeira (tesouras, treliças,...)</v>
      </c>
      <c r="D29" s="26" t="str">
        <f>VLOOKUP(B29,'Composição dos serv'!A:I,4,FALSE)</f>
        <v>m²</v>
      </c>
      <c r="E29" s="49"/>
      <c r="F29" s="37">
        <f>ROUNDUP(E29*0.08+E29*0.2,2)</f>
        <v>0</v>
      </c>
      <c r="G29" s="38">
        <f>SUMIF('Composição dos serv'!A:A,B29,'Composição dos serv'!I:I)</f>
        <v>0</v>
      </c>
      <c r="H29" s="38">
        <f t="shared" si="5"/>
        <v>0</v>
      </c>
      <c r="I29" s="24"/>
      <c r="J29" s="24"/>
      <c r="K29" s="39">
        <f>SUMIF('Composição dos serv'!A:A,B29,'Composição dos serv'!K:K)</f>
        <v>0.06</v>
      </c>
      <c r="L29" s="40">
        <f t="shared" si="3"/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6" ht="14.25" hidden="1" customHeight="1">
      <c r="A30" s="26" t="str">
        <f>A27</f>
        <v>D18.3</v>
      </c>
      <c r="B30" s="26" t="s">
        <v>111</v>
      </c>
      <c r="C30" s="37" t="str">
        <f>VLOOKUP(B30,'Composição dos serv'!A:I,3,FALSE)</f>
        <v>Retirada de Telhas de amianto Sem Estrutura</v>
      </c>
      <c r="D30" s="26" t="str">
        <f>VLOOKUP(B30,'Composição dos serv'!A:I,4,FALSE)</f>
        <v>m²</v>
      </c>
      <c r="E30" s="37"/>
      <c r="F30" s="37"/>
      <c r="G30" s="38">
        <f>SUMIF('Composição dos serv'!A:A,B30,'Composição dos serv'!I:I)</f>
        <v>0</v>
      </c>
      <c r="H30" s="38">
        <f t="shared" si="5"/>
        <v>0</v>
      </c>
      <c r="I30" s="24"/>
      <c r="J30" s="24"/>
      <c r="K30" s="39">
        <f>SUMIF('Composição dos serv'!A:A,B30,'Composição dos serv'!K:K)</f>
        <v>0.02</v>
      </c>
      <c r="L30" s="40">
        <f t="shared" si="3"/>
        <v>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6" ht="14.25" customHeight="1">
      <c r="A31" s="26" t="str">
        <f>A27</f>
        <v>D18.3</v>
      </c>
      <c r="B31" s="26" t="s">
        <v>117</v>
      </c>
      <c r="C31" s="37" t="str">
        <f>VLOOKUP(B31,'Composição dos serv'!A:I,3,FALSE)</f>
        <v>Retirada de Telhas de amianto com Estrutura em madeira (tesouras, treliças,...)</v>
      </c>
      <c r="D31" s="26" t="str">
        <f>VLOOKUP(B31,'Composição dos serv'!A:I,4,FALSE)</f>
        <v>m²</v>
      </c>
      <c r="E31" s="37">
        <v>187</v>
      </c>
      <c r="F31" s="37">
        <f>ROUNDUP(E31*0.1,2)</f>
        <v>18.7</v>
      </c>
      <c r="G31" s="38">
        <f>SUMIF('Composição dos serv'!A:A,B31,'Composição dos serv'!I:I)</f>
        <v>0</v>
      </c>
      <c r="H31" s="38">
        <f t="shared" si="5"/>
        <v>0</v>
      </c>
      <c r="I31" s="24"/>
      <c r="J31" s="24"/>
      <c r="K31" s="39">
        <f>SUMIF('Composição dos serv'!A:A,B31,'Composição dos serv'!K:K)</f>
        <v>0.04</v>
      </c>
      <c r="L31" s="40">
        <f t="shared" si="3"/>
        <v>8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6" ht="14.25" hidden="1" customHeight="1">
      <c r="A32" s="26" t="str">
        <f>A27</f>
        <v>D18.3</v>
      </c>
      <c r="B32" s="26" t="s">
        <v>121</v>
      </c>
      <c r="C32" s="37" t="str">
        <f>VLOOKUP(B32,'Composição dos serv'!A:I,3,FALSE)</f>
        <v>Retirada de Laje em concreto</v>
      </c>
      <c r="D32" s="26" t="str">
        <f>VLOOKUP(B32,'Composição dos serv'!A:I,4,FALSE)</f>
        <v>m²</v>
      </c>
      <c r="E32" s="37"/>
      <c r="F32" s="37">
        <f>ROUNDUP(E32*0.12,2)</f>
        <v>0</v>
      </c>
      <c r="G32" s="38">
        <f>SUMIF('Composição dos serv'!A:A,B32,'Composição dos serv'!I:I)</f>
        <v>0</v>
      </c>
      <c r="H32" s="38">
        <f t="shared" si="5"/>
        <v>0</v>
      </c>
      <c r="I32" s="24"/>
      <c r="J32" s="24"/>
      <c r="K32" s="39">
        <f>SUMIF('Composição dos serv'!A:A,B32,'Composição dos serv'!K:K)</f>
        <v>0.09</v>
      </c>
      <c r="L32" s="40">
        <f t="shared" si="3"/>
        <v>0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4.25" customHeight="1">
      <c r="A33" s="26" t="str">
        <f>A27</f>
        <v>D18.3</v>
      </c>
      <c r="B33" s="26" t="s">
        <v>129</v>
      </c>
      <c r="C33" s="37" t="str">
        <f>VLOOKUP(B33,'Composição dos serv'!A:I,3,FALSE)</f>
        <v>Retirada de Forros qualquer com sistema de fixação</v>
      </c>
      <c r="D33" s="26" t="str">
        <f>VLOOKUP(B33,'Composição dos serv'!A:I,4,FALSE)</f>
        <v>m²</v>
      </c>
      <c r="E33" s="37">
        <v>112</v>
      </c>
      <c r="F33" s="37">
        <f>ROUNDUP(E33*0.1,2)</f>
        <v>11.2</v>
      </c>
      <c r="G33" s="38">
        <f>SUMIF('Composição dos serv'!A:A,B33,'Composição dos serv'!I:I)</f>
        <v>0</v>
      </c>
      <c r="H33" s="38">
        <f t="shared" si="5"/>
        <v>0</v>
      </c>
      <c r="I33" s="24"/>
      <c r="J33" s="24"/>
      <c r="K33" s="39">
        <f>SUMIF('Composição dos serv'!A:A,B33,'Composição dos serv'!K:K)</f>
        <v>0.04</v>
      </c>
      <c r="L33" s="40">
        <f t="shared" si="3"/>
        <v>5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4.25" customHeight="1">
      <c r="A34" s="33" t="s">
        <v>326</v>
      </c>
      <c r="B34" s="33" t="s">
        <v>133</v>
      </c>
      <c r="C34" s="34" t="str">
        <f>VLOOKUP(B34,'Composição dos serv'!A:I,3,FALSE)</f>
        <v>PAREDES</v>
      </c>
      <c r="D34" s="35"/>
      <c r="E34" s="35"/>
      <c r="F34" s="35"/>
      <c r="G34" s="35"/>
      <c r="H34" s="36"/>
      <c r="I34" s="24"/>
      <c r="J34" s="24"/>
      <c r="K34" s="39">
        <f>SUMIF('Composição dos serv'!A:A,B34,'Composição dos serv'!K:K)</f>
        <v>0</v>
      </c>
      <c r="L34" s="40">
        <f t="shared" si="3"/>
        <v>0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4.25" customHeight="1">
      <c r="A35" s="26" t="str">
        <f>A34</f>
        <v>D18.4</v>
      </c>
      <c r="B35" s="26" t="s">
        <v>135</v>
      </c>
      <c r="C35" s="37" t="str">
        <f>VLOOKUP(B35,'Composição dos serv'!A:I,3,FALSE)</f>
        <v>Parede em Alvenaria - usar área construida</v>
      </c>
      <c r="D35" s="26" t="str">
        <f>VLOOKUP(B35,'Composição dos serv'!A:I,4,FALSE)</f>
        <v>m²</v>
      </c>
      <c r="E35" s="49">
        <v>187</v>
      </c>
      <c r="F35" s="37">
        <f>ROUNDUP(E35*0.8,2)</f>
        <v>149.6</v>
      </c>
      <c r="G35" s="38">
        <f>SUMIF('Composição dos serv'!A:A,B35,'Composição dos serv'!I:I)</f>
        <v>0</v>
      </c>
      <c r="H35" s="38">
        <f t="shared" ref="H35:H37" si="6">E35*G35</f>
        <v>0</v>
      </c>
      <c r="I35" s="24"/>
      <c r="J35" s="24"/>
      <c r="K35" s="39">
        <f>SUMIF('Composição dos serv'!A:A,B35,'Composição dos serv'!K:K)</f>
        <v>0.15000000000000002</v>
      </c>
      <c r="L35" s="40">
        <f t="shared" si="3"/>
        <v>29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4.25" hidden="1" customHeight="1">
      <c r="A36" s="26" t="str">
        <f>A34</f>
        <v>D18.4</v>
      </c>
      <c r="B36" s="26" t="s">
        <v>143</v>
      </c>
      <c r="C36" s="37" t="str">
        <f>VLOOKUP(B36,'Composição dos serv'!A:I,3,FALSE)</f>
        <v>Parede em Madeirite - Chapas de madeira compensada ou aglomerada - área construída</v>
      </c>
      <c r="D36" s="26" t="str">
        <f>VLOOKUP(B36,'Composição dos serv'!A:I,4,FALSE)</f>
        <v>m²</v>
      </c>
      <c r="E36" s="37"/>
      <c r="F36" s="37">
        <f>ROUNDUP(E36*0.21,2)</f>
        <v>0</v>
      </c>
      <c r="G36" s="38">
        <f>SUMIF('Composição dos serv'!A:A,B36,'Composição dos serv'!I:I)</f>
        <v>0</v>
      </c>
      <c r="H36" s="38">
        <f t="shared" si="6"/>
        <v>0</v>
      </c>
      <c r="I36" s="24"/>
      <c r="J36" s="24"/>
      <c r="K36" s="39">
        <f>SUMIF('Composição dos serv'!A:A,B36,'Composição dos serv'!K:K)</f>
        <v>0.15000000000000002</v>
      </c>
      <c r="L36" s="40">
        <f t="shared" si="3"/>
        <v>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4.25" hidden="1" customHeight="1">
      <c r="A37" s="26" t="str">
        <f>A34</f>
        <v>D18.4</v>
      </c>
      <c r="B37" s="26" t="s">
        <v>145</v>
      </c>
      <c r="C37" s="37" t="str">
        <f>VLOOKUP(B37,'Composição dos serv'!A:I,3,FALSE)</f>
        <v>Parede em Lambril de madeira - área construída</v>
      </c>
      <c r="D37" s="26" t="str">
        <f>VLOOKUP(B37,'Composição dos serv'!A:I,4,FALSE)</f>
        <v>m²</v>
      </c>
      <c r="E37" s="37"/>
      <c r="F37" s="37">
        <f>ROUNDUP(E37*4*0.12,2)</f>
        <v>0</v>
      </c>
      <c r="G37" s="38">
        <f>SUMIF('Composição dos serv'!A:A,B37,'Composição dos serv'!I:I)</f>
        <v>0</v>
      </c>
      <c r="H37" s="38">
        <f t="shared" si="6"/>
        <v>0</v>
      </c>
      <c r="I37" s="24"/>
      <c r="J37" s="24"/>
      <c r="K37" s="39">
        <f>SUMIF('Composição dos serv'!A:A,B37,'Composição dos serv'!K:K)</f>
        <v>0.35000000000000009</v>
      </c>
      <c r="L37" s="40">
        <f t="shared" si="3"/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4.25" customHeight="1">
      <c r="A38" s="33" t="s">
        <v>327</v>
      </c>
      <c r="B38" s="33" t="s">
        <v>153</v>
      </c>
      <c r="C38" s="34" t="str">
        <f>VLOOKUP(B38,'Composição dos serv'!A:I,3,FALSE)</f>
        <v>PISO E FUNDAÇÃO</v>
      </c>
      <c r="D38" s="35"/>
      <c r="E38" s="35"/>
      <c r="F38" s="35"/>
      <c r="G38" s="35"/>
      <c r="H38" s="36"/>
      <c r="I38" s="24"/>
      <c r="J38" s="24"/>
      <c r="K38" s="39">
        <f>SUMIF('Composição dos serv'!A:A,B38,'Composição dos serv'!K:K)</f>
        <v>0</v>
      </c>
      <c r="L38" s="40">
        <f t="shared" si="3"/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4.25" hidden="1" customHeight="1">
      <c r="A39" s="26" t="str">
        <f>A38</f>
        <v>D18.5</v>
      </c>
      <c r="B39" s="26" t="s">
        <v>155</v>
      </c>
      <c r="C39" s="37" t="str">
        <f>VLOOKUP(B39,'Composição dos serv'!A:I,3,FALSE)</f>
        <v>Piso da edificação com fundação</v>
      </c>
      <c r="D39" s="26" t="str">
        <f>VLOOKUP(B39,'Composição dos serv'!A:I,4,FALSE)</f>
        <v>m²</v>
      </c>
      <c r="E39" s="37"/>
      <c r="F39" s="37">
        <f>ROUNDUP(E39*0.24,2)</f>
        <v>0</v>
      </c>
      <c r="G39" s="38">
        <f>SUMIF('Composição dos serv'!A:A,B39,'Composição dos serv'!I:I)</f>
        <v>0</v>
      </c>
      <c r="H39" s="38">
        <f>E39*G39</f>
        <v>0</v>
      </c>
      <c r="I39" s="24"/>
      <c r="J39" s="24"/>
      <c r="K39" s="39">
        <f>SUMIF('Composição dos serv'!A:A,B39,'Composição dos serv'!K:K)</f>
        <v>0.17</v>
      </c>
      <c r="L39" s="40">
        <f t="shared" si="3"/>
        <v>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4.25" customHeight="1">
      <c r="A40" s="33" t="s">
        <v>328</v>
      </c>
      <c r="B40" s="33" t="s">
        <v>161</v>
      </c>
      <c r="C40" s="48" t="str">
        <f>VLOOKUP(B40,'Composição dos serv'!A:I,3,FALSE)</f>
        <v>ESTRUTURAS DIVERSAS</v>
      </c>
      <c r="D40" s="48"/>
      <c r="E40" s="48"/>
      <c r="F40" s="48"/>
      <c r="G40" s="48"/>
      <c r="H40" s="48"/>
      <c r="I40" s="24"/>
      <c r="J40" s="24"/>
      <c r="K40" s="39">
        <f>SUMIF('Composição dos serv'!A:A,B40,'Composição dos serv'!K:K)</f>
        <v>0</v>
      </c>
      <c r="L40" s="40">
        <f t="shared" si="3"/>
        <v>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4.25" hidden="1" customHeight="1">
      <c r="A41" s="26" t="str">
        <f>A40</f>
        <v>D18.6</v>
      </c>
      <c r="B41" s="26" t="s">
        <v>163</v>
      </c>
      <c r="C41" s="37" t="str">
        <f>VLOOKUP(B41,'Composição dos serv'!A:I,3,FALSE)</f>
        <v>Escada em concreto com corrimão</v>
      </c>
      <c r="D41" s="26" t="str">
        <f>VLOOKUP(B41,'Composição dos serv'!A:I,4,FALSE)</f>
        <v>m</v>
      </c>
      <c r="E41" s="49"/>
      <c r="F41" s="37">
        <f>ROUNDUP(E41*1.2*0.25,2)</f>
        <v>0</v>
      </c>
      <c r="G41" s="38">
        <f>SUMIF('Composição dos serv'!A:A,B41,'Composição dos serv'!I:I)</f>
        <v>0</v>
      </c>
      <c r="H41" s="38">
        <f t="shared" ref="H41:H44" si="7">E41*G41</f>
        <v>0</v>
      </c>
      <c r="I41" s="24"/>
      <c r="J41" s="24"/>
      <c r="K41" s="39">
        <f>SUMIF('Composição dos serv'!A:A,B41,'Composição dos serv'!K:K)</f>
        <v>0.39</v>
      </c>
      <c r="L41" s="40">
        <f t="shared" si="3"/>
        <v>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4.25" customHeight="1">
      <c r="A42" s="26" t="str">
        <f>A40</f>
        <v>D18.6</v>
      </c>
      <c r="B42" s="26" t="s">
        <v>169</v>
      </c>
      <c r="C42" s="37" t="str">
        <f>VLOOKUP(B42,'Composição dos serv'!A:I,3,FALSE)</f>
        <v>Entrada de Energia - medidor</v>
      </c>
      <c r="D42" s="26" t="str">
        <f>VLOOKUP(B42,'Composição dos serv'!A:I,4,FALSE)</f>
        <v>un</v>
      </c>
      <c r="E42" s="37">
        <v>1</v>
      </c>
      <c r="F42" s="37">
        <f>ROUNDUP(E42*(0.63+1+(((3.1415*0.4^2)/4)*6)),2)</f>
        <v>2.3899999999999997</v>
      </c>
      <c r="G42" s="38">
        <f>SUMIF('Composição dos serv'!A:A,B42,'Composição dos serv'!I:I)</f>
        <v>0</v>
      </c>
      <c r="H42" s="38">
        <f t="shared" si="7"/>
        <v>0</v>
      </c>
      <c r="I42" s="24"/>
      <c r="J42" s="24"/>
      <c r="K42" s="39">
        <f>SUMIF('Composição dos serv'!A:A,B42,'Composição dos serv'!K:K)</f>
        <v>1.7600000000000002</v>
      </c>
      <c r="L42" s="40">
        <f t="shared" si="3"/>
        <v>2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4.25" customHeight="1">
      <c r="A43" s="26" t="str">
        <f>A40</f>
        <v>D18.6</v>
      </c>
      <c r="B43" s="26" t="s">
        <v>183</v>
      </c>
      <c r="C43" s="37" t="str">
        <f>VLOOKUP(B43,'Composição dos serv'!A:I,3,FALSE)</f>
        <v>Hidrômetro com abrigo</v>
      </c>
      <c r="D43" s="26" t="str">
        <f>VLOOKUP(B43,'Composição dos serv'!A:I,4,FALSE)</f>
        <v>un</v>
      </c>
      <c r="E43" s="37">
        <v>1</v>
      </c>
      <c r="F43" s="37">
        <f>ROUNDUP(E43*(1+0.34),2)</f>
        <v>1.34</v>
      </c>
      <c r="G43" s="38">
        <f>SUMIF('Composição dos serv'!A:A,B43,'Composição dos serv'!I:I)</f>
        <v>0</v>
      </c>
      <c r="H43" s="38">
        <f t="shared" si="7"/>
        <v>0</v>
      </c>
      <c r="I43" s="24"/>
      <c r="J43" s="24"/>
      <c r="K43" s="39">
        <f>SUMIF('Composição dos serv'!A:A,B43,'Composição dos serv'!K:K)</f>
        <v>0.44000000000000006</v>
      </c>
      <c r="L43" s="40">
        <f t="shared" si="3"/>
        <v>1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4.25" customHeight="1">
      <c r="A44" s="26" t="str">
        <f>A42</f>
        <v>D18.6</v>
      </c>
      <c r="B44" s="26" t="s">
        <v>191</v>
      </c>
      <c r="C44" s="37" t="str">
        <f>VLOOKUP(B44,'Composição dos serv'!A:I,3,FALSE)</f>
        <v>Aterro de Fossa com retirada de tampa</v>
      </c>
      <c r="D44" s="26" t="str">
        <f>VLOOKUP(B44,'Composição dos serv'!A:I,4,FALSE)</f>
        <v>un</v>
      </c>
      <c r="E44" s="37">
        <v>1</v>
      </c>
      <c r="F44" s="37">
        <f>ROUNDUP(E44*(0.4),2)</f>
        <v>0.4</v>
      </c>
      <c r="G44" s="38">
        <f>SUMIF('Composição dos serv'!A:A,B44,'Composição dos serv'!I:I)</f>
        <v>0</v>
      </c>
      <c r="H44" s="38">
        <f t="shared" si="7"/>
        <v>0</v>
      </c>
      <c r="I44" s="24"/>
      <c r="J44" s="24"/>
      <c r="K44" s="39">
        <f>SUMIF('Composição dos serv'!A:A,B44,'Composição dos serv'!K:K)</f>
        <v>0.85000000000000009</v>
      </c>
      <c r="L44" s="40">
        <f t="shared" si="3"/>
        <v>1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4.25" customHeight="1">
      <c r="A45" s="33" t="s">
        <v>329</v>
      </c>
      <c r="B45" s="33" t="s">
        <v>195</v>
      </c>
      <c r="C45" s="48" t="str">
        <f>VLOOKUP(B45,'Composição dos serv'!A:I,3,FALSE)</f>
        <v>ACABAMENTOS DIVERSOS e OUTROS</v>
      </c>
      <c r="D45" s="48"/>
      <c r="E45" s="48"/>
      <c r="F45" s="48"/>
      <c r="G45" s="48"/>
      <c r="H45" s="48"/>
      <c r="I45" s="24"/>
      <c r="J45" s="24"/>
      <c r="K45" s="39">
        <f>SUMIF('Composição dos serv'!A:A,B45,'Composição dos serv'!K:K)</f>
        <v>0</v>
      </c>
      <c r="L45" s="40">
        <f t="shared" si="3"/>
        <v>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4.25" customHeight="1">
      <c r="A46" s="26" t="str">
        <f>A45</f>
        <v>D18.7</v>
      </c>
      <c r="B46" s="50" t="s">
        <v>197</v>
      </c>
      <c r="C46" s="49" t="str">
        <f>VLOOKUP(B46,'Composição dos serv'!A:I,3,FALSE)</f>
        <v>Remoção de aparelhos sanitarios - por banheiro</v>
      </c>
      <c r="D46" s="50" t="str">
        <f>VLOOKUP(B46,'Composição dos serv'!A:I,4,FALSE)</f>
        <v>unid</v>
      </c>
      <c r="E46" s="49">
        <v>2</v>
      </c>
      <c r="F46" s="37">
        <f t="shared" ref="F46:F48" si="8">ROUNDUP(E46*1,2)</f>
        <v>2</v>
      </c>
      <c r="G46" s="38">
        <f>SUMIF('Composição dos serv'!A:A,B46,'Composição dos serv'!I:I)</f>
        <v>0</v>
      </c>
      <c r="H46" s="51">
        <f t="shared" ref="H46:H52" si="9">E46*G46</f>
        <v>0</v>
      </c>
      <c r="I46" s="24"/>
      <c r="J46" s="24"/>
      <c r="K46" s="39">
        <f>SUMIF('Composição dos serv'!A:A,B46,'Composição dos serv'!K:K)</f>
        <v>0.19</v>
      </c>
      <c r="L46" s="40">
        <f t="shared" si="3"/>
        <v>1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4.25" customHeight="1">
      <c r="A47" s="26" t="str">
        <f>A45</f>
        <v>D18.7</v>
      </c>
      <c r="B47" s="50" t="s">
        <v>209</v>
      </c>
      <c r="C47" s="37" t="str">
        <f>VLOOKUP(B47,'Composição dos serv'!A:I,3,FALSE)</f>
        <v>Remoção de aparelhos sanitarios - Cozinha e Área de Serviço</v>
      </c>
      <c r="D47" s="26" t="str">
        <f>VLOOKUP(B47,'Composição dos serv'!A:I,4,FALSE)</f>
        <v>unid</v>
      </c>
      <c r="E47" s="37">
        <v>4</v>
      </c>
      <c r="F47" s="37">
        <f t="shared" si="8"/>
        <v>4</v>
      </c>
      <c r="G47" s="38">
        <f>SUMIF('Composição dos serv'!A:A,B47,'Composição dos serv'!I:I)</f>
        <v>0</v>
      </c>
      <c r="H47" s="38">
        <f t="shared" si="9"/>
        <v>0</v>
      </c>
      <c r="I47" s="24"/>
      <c r="J47" s="24"/>
      <c r="K47" s="39">
        <f>SUMIF('Composição dos serv'!A:A,B47,'Composição dos serv'!K:K)</f>
        <v>0.21</v>
      </c>
      <c r="L47" s="40">
        <f t="shared" si="3"/>
        <v>1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4.25" customHeight="1">
      <c r="A48" s="26" t="str">
        <f t="shared" ref="A48:A52" si="10">A$45</f>
        <v>D18.7</v>
      </c>
      <c r="B48" s="50" t="s">
        <v>215</v>
      </c>
      <c r="C48" s="37" t="str">
        <f>VLOOKUP(B48,'Composição dos serv'!A:I,3,FALSE)</f>
        <v>Remoção de caixa d'agua</v>
      </c>
      <c r="D48" s="26" t="str">
        <f>VLOOKUP(B48,'Composição dos serv'!A:I,4,FALSE)</f>
        <v>unid</v>
      </c>
      <c r="E48" s="37">
        <v>1</v>
      </c>
      <c r="F48" s="37">
        <f t="shared" si="8"/>
        <v>1</v>
      </c>
      <c r="G48" s="38">
        <f>SUMIF('Composição dos serv'!A:A,B48,'Composição dos serv'!I:I)</f>
        <v>0</v>
      </c>
      <c r="H48" s="38">
        <f t="shared" si="9"/>
        <v>0</v>
      </c>
      <c r="I48" s="24"/>
      <c r="J48" s="24"/>
      <c r="K48" s="39">
        <f>SUMIF('Composição dos serv'!A:A,B48,'Composição dos serv'!K:K)</f>
        <v>0.42000000000000004</v>
      </c>
      <c r="L48" s="40">
        <f t="shared" si="3"/>
        <v>1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6" ht="14.25" hidden="1" customHeight="1">
      <c r="A49" s="26" t="str">
        <f t="shared" si="10"/>
        <v>D18.7</v>
      </c>
      <c r="B49" s="50" t="s">
        <v>219</v>
      </c>
      <c r="C49" s="37" t="str">
        <f>VLOOKUP(B49,'Composição dos serv'!A:I,3,FALSE)</f>
        <v>Remoção do Sistema de Para raios - área do telhado</v>
      </c>
      <c r="D49" s="26" t="str">
        <f>VLOOKUP(B49,'Composição dos serv'!A:I,4,FALSE)</f>
        <v>m²</v>
      </c>
      <c r="E49" s="37"/>
      <c r="F49" s="37">
        <f>ROUNDUP(E49/60,2)</f>
        <v>0</v>
      </c>
      <c r="G49" s="38">
        <f>SUMIF('Composição dos serv'!A:A,B49,'Composição dos serv'!I:I)</f>
        <v>0</v>
      </c>
      <c r="H49" s="38">
        <f t="shared" si="9"/>
        <v>0</v>
      </c>
      <c r="I49" s="24"/>
      <c r="J49" s="24"/>
      <c r="K49" s="39">
        <f>SUMIF('Composição dos serv'!A:A,B49,'Composição dos serv'!K:K)</f>
        <v>0.05</v>
      </c>
      <c r="L49" s="40">
        <f t="shared" si="3"/>
        <v>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6" ht="14.25" customHeight="1">
      <c r="A50" s="26" t="str">
        <f t="shared" si="10"/>
        <v>D18.7</v>
      </c>
      <c r="B50" s="50" t="s">
        <v>227</v>
      </c>
      <c r="C50" s="37" t="str">
        <f>VLOOKUP(B50,'Composição dos serv'!A:I,3,FALSE)</f>
        <v>Janelas</v>
      </c>
      <c r="D50" s="26" t="str">
        <f>VLOOKUP(B50,'Composição dos serv'!A:I,4,FALSE)</f>
        <v>un</v>
      </c>
      <c r="E50" s="37">
        <v>4</v>
      </c>
      <c r="F50" s="37">
        <f>ROUNDUP(E50*1.5*1.2*0.2,2)</f>
        <v>1.44</v>
      </c>
      <c r="G50" s="38">
        <f>SUMIF('Composição dos serv'!A:A,B50,'Composição dos serv'!I:I)</f>
        <v>0</v>
      </c>
      <c r="H50" s="38">
        <f t="shared" si="9"/>
        <v>0</v>
      </c>
      <c r="I50" s="24"/>
      <c r="J50" s="24"/>
      <c r="K50" s="39">
        <f>SUMIF('Composição dos serv'!A:A,B50,'Composição dos serv'!K:K)</f>
        <v>0</v>
      </c>
      <c r="L50" s="40">
        <f t="shared" si="3"/>
        <v>0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6" ht="14.25" customHeight="1">
      <c r="A51" s="26" t="str">
        <f t="shared" si="10"/>
        <v>D18.7</v>
      </c>
      <c r="B51" s="50" t="s">
        <v>234</v>
      </c>
      <c r="C51" s="37" t="str">
        <f>VLOOKUP(B51,'Composição dos serv'!A:I,3,FALSE)</f>
        <v>Portas</v>
      </c>
      <c r="D51" s="26" t="str">
        <f>VLOOKUP(B51,'Composição dos serv'!A:I,4,FALSE)</f>
        <v>un</v>
      </c>
      <c r="E51" s="37">
        <v>3</v>
      </c>
      <c r="F51" s="37">
        <f>ROUNDUP(E51*2.1*0.9*0.2,2)</f>
        <v>1.1399999999999999</v>
      </c>
      <c r="G51" s="38">
        <f>SUMIF('Composição dos serv'!A:A,B51,'Composição dos serv'!I:I)</f>
        <v>0</v>
      </c>
      <c r="H51" s="38">
        <f t="shared" si="9"/>
        <v>0</v>
      </c>
      <c r="I51" s="24"/>
      <c r="J51" s="24"/>
      <c r="K51" s="39">
        <f>SUMIF('Composição dos serv'!A:A,B51,'Composição dos serv'!K:K)</f>
        <v>0</v>
      </c>
      <c r="L51" s="40">
        <f t="shared" si="3"/>
        <v>0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6" ht="14.25" hidden="1" customHeight="1">
      <c r="A52" s="26" t="str">
        <f t="shared" si="10"/>
        <v>D18.7</v>
      </c>
      <c r="B52" s="50" t="s">
        <v>236</v>
      </c>
      <c r="C52" s="37" t="str">
        <f>VLOOKUP(B52,'Composição dos serv'!A:I,3,FALSE)</f>
        <v>Guarda corpo de metal</v>
      </c>
      <c r="D52" s="26" t="str">
        <f>VLOOKUP(B52,'Composição dos serv'!A:I,4,FALSE)</f>
        <v>m</v>
      </c>
      <c r="E52" s="37"/>
      <c r="F52" s="37">
        <f>ROUNDUP(E52*1.7*0.05,2)</f>
        <v>0</v>
      </c>
      <c r="G52" s="38">
        <f>SUMIF('Composição dos serv'!A:A,B52,'Composição dos serv'!I:I)</f>
        <v>0</v>
      </c>
      <c r="H52" s="38">
        <f t="shared" si="9"/>
        <v>0</v>
      </c>
      <c r="I52" s="24"/>
      <c r="J52" s="24"/>
      <c r="K52" s="39">
        <f>SUMIF('Composição dos serv'!A:A,B52,'Composição dos serv'!K:K)</f>
        <v>0</v>
      </c>
      <c r="L52" s="40">
        <f t="shared" si="3"/>
        <v>0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6" ht="14.25" customHeight="1">
      <c r="A53" s="33" t="s">
        <v>330</v>
      </c>
      <c r="B53" s="33" t="s">
        <v>240</v>
      </c>
      <c r="C53" s="48" t="str">
        <f>VLOOKUP(B53,'Composição dos serv'!A:I,3,FALSE)</f>
        <v>ENTULHO</v>
      </c>
      <c r="D53" s="48"/>
      <c r="E53" s="48"/>
      <c r="F53" s="48"/>
      <c r="G53" s="48"/>
      <c r="H53" s="48"/>
      <c r="I53" s="24"/>
      <c r="J53" s="24"/>
      <c r="K53" s="39">
        <f>SUMIF('Composição dos serv'!A:A,B53,'Composição dos serv'!K:K)</f>
        <v>0</v>
      </c>
      <c r="L53" s="40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6" ht="14.25" hidden="1" customHeight="1">
      <c r="A54" s="26" t="str">
        <f t="shared" ref="A54:A57" si="11">A$53</f>
        <v>D18.8</v>
      </c>
      <c r="B54" s="50" t="s">
        <v>242</v>
      </c>
      <c r="C54" s="49" t="str">
        <f>VLOOKUP(B54,'Composição dos serv'!A:I,3,FALSE)</f>
        <v>Transporte e espalhamento Manual do entulho a ser reutilizado</v>
      </c>
      <c r="D54" s="50" t="s">
        <v>291</v>
      </c>
      <c r="E54" s="49"/>
      <c r="F54" s="52">
        <f>IF(E54=1,ROUNDUP((IF(E22&lt;&gt;"",F22,0)+IF(E23&lt;&gt;"",F23,0)+IF(E25&lt;&gt;"",F25,0)+IF(E26&lt;&gt;"",F26*0.34,0)+IF(E29&lt;&gt;"",F29*0.43,0)+IF(E32&lt;&gt;"",F32*0.8,0)+IF(E35&lt;&gt;"",F35*(0.78),0)+IF(E39&lt;&gt;"",F39*0.98,0)+IF(E41&lt;&gt;"",F41*0.91,0)+IF(E42&lt;&gt;"",F42*0.26,0)+IF(E43&lt;&gt;"",F43*0.24,0)+IF(E44&lt;&gt;"",F44,0)),2),0)</f>
        <v>0</v>
      </c>
      <c r="G54" s="51">
        <f>SUMIF('Composição dos serv'!A:A,B54,'Composição dos serv'!I:I)</f>
        <v>0</v>
      </c>
      <c r="H54" s="51">
        <f t="shared" ref="H54:H55" si="12">F54*G54</f>
        <v>0</v>
      </c>
      <c r="I54" s="24"/>
      <c r="J54" s="24"/>
      <c r="K54" s="39">
        <f>SUMIF('Composição dos serv'!A:A,B54,'Composição dos serv'!K:K)</f>
        <v>0.15000000000000002</v>
      </c>
      <c r="L54" s="40">
        <f t="shared" ref="L54:L57" si="13">ROUNDUP(K54*F54,0)</f>
        <v>0</v>
      </c>
      <c r="M54" s="45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6" ht="14.25" hidden="1" customHeight="1">
      <c r="A55" s="26" t="str">
        <f t="shared" si="11"/>
        <v>D18.8</v>
      </c>
      <c r="B55" s="50" t="s">
        <v>246</v>
      </c>
      <c r="C55" s="49" t="str">
        <f>VLOOKUP(B55,'Composição dos serv'!A:I,3,FALSE)</f>
        <v>Remoção e Transporte Mecanizado do entulho a ser reutilizado</v>
      </c>
      <c r="D55" s="50" t="s">
        <v>291</v>
      </c>
      <c r="E55" s="49"/>
      <c r="F55" s="52">
        <f>IF(E55=1,SUM(F22:F52)-H59,0)</f>
        <v>0</v>
      </c>
      <c r="G55" s="51">
        <f>SUMIF('Composição dos serv'!A:A,B55,'Composição dos serv'!I:I)</f>
        <v>0</v>
      </c>
      <c r="H55" s="51">
        <f t="shared" si="12"/>
        <v>0</v>
      </c>
      <c r="I55" s="24"/>
      <c r="J55" s="24"/>
      <c r="K55" s="39">
        <f>SUMIF('Composição dos serv'!A:A,B55,'Composição dos serv'!K:K)</f>
        <v>0.02</v>
      </c>
      <c r="L55" s="40">
        <f t="shared" si="13"/>
        <v>0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6" ht="14.25" hidden="1" customHeight="1">
      <c r="A56" s="26" t="str">
        <f t="shared" si="11"/>
        <v>D18.8</v>
      </c>
      <c r="B56" s="50" t="s">
        <v>252</v>
      </c>
      <c r="C56" s="49" t="str">
        <f>VLOOKUP(B56,'Composição dos serv'!A:I,3,FALSE)</f>
        <v>Remoção do entulho com caçamba</v>
      </c>
      <c r="D56" s="50" t="s">
        <v>291</v>
      </c>
      <c r="E56" s="49"/>
      <c r="F56" s="52">
        <f>IF(E56=1,SUM(F22:F52),0)</f>
        <v>0</v>
      </c>
      <c r="G56" s="51">
        <f>SUMIF('Composição dos serv'!A:A,B56,'Composição dos serv'!I:I)</f>
        <v>0</v>
      </c>
      <c r="H56" s="51">
        <f>IF(E56&gt;1,"OPÇÃO ERRADA",F56*G56)+IF(G59=1,H59*G56,0)</f>
        <v>0</v>
      </c>
      <c r="I56" s="24"/>
      <c r="J56" s="24"/>
      <c r="K56" s="39">
        <f>SUMIF('Composição dos serv'!A:A,B56,'Composição dos serv'!K:K)</f>
        <v>0.02</v>
      </c>
      <c r="L56" s="40">
        <f t="shared" si="13"/>
        <v>0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6" ht="14.25" customHeight="1">
      <c r="A57" s="26" t="str">
        <f t="shared" si="11"/>
        <v>D18.8</v>
      </c>
      <c r="B57" s="50" t="s">
        <v>256</v>
      </c>
      <c r="C57" s="49" t="str">
        <f>VLOOKUP(B57,'Composição dos serv'!A:I,3,FALSE)</f>
        <v>Remoção e Transporte Mecanizado do entulho para bota fora</v>
      </c>
      <c r="D57" s="50" t="s">
        <v>291</v>
      </c>
      <c r="E57" s="49">
        <v>1</v>
      </c>
      <c r="F57" s="52">
        <f>IF(E57=1,SUM(F22:F52),0)</f>
        <v>254.40999999999997</v>
      </c>
      <c r="G57" s="51">
        <f>SUMIF('Composição dos serv'!A:A,B57,'Composição dos serv'!I:I)</f>
        <v>0</v>
      </c>
      <c r="H57" s="51">
        <f>IF(E57&gt;1,"OPÇÃO ERRADA",F57*G57)+IF(G59=2,H59*G57,0)</f>
        <v>0</v>
      </c>
      <c r="I57" s="24"/>
      <c r="J57" s="24"/>
      <c r="K57" s="39">
        <f>SUMIF('Composição dos serv'!A:A,B57,'Composição dos serv'!K:K)</f>
        <v>7.9999999999999988E-2</v>
      </c>
      <c r="L57" s="40">
        <f t="shared" si="13"/>
        <v>21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6" ht="14.25" customHeight="1">
      <c r="A58" s="26" t="str">
        <f>A53</f>
        <v>D18.8</v>
      </c>
      <c r="B58" s="50" t="s">
        <v>264</v>
      </c>
      <c r="C58" s="49" t="str">
        <f>VLOOKUP(B58,'Composição dos serv'!A:I,3,FALSE)</f>
        <v>Remoção de telhas em cimento amianto</v>
      </c>
      <c r="D58" s="26" t="str">
        <f>VLOOKUP(B58,'Composição dos serv'!A:I,4,FALSE)</f>
        <v>m²</v>
      </c>
      <c r="E58" s="49">
        <f>SUM(E30:E31)</f>
        <v>187</v>
      </c>
      <c r="F58" s="52"/>
      <c r="G58" s="51">
        <f>SUMIF('Composição dos serv'!A:A,B58,'Composição dos serv'!I:I)</f>
        <v>0</v>
      </c>
      <c r="H58" s="51">
        <f>G58*E58</f>
        <v>0</v>
      </c>
      <c r="I58" s="24"/>
      <c r="J58" s="24"/>
      <c r="K58" s="39"/>
      <c r="L58" s="40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6" ht="14.25" customHeight="1">
      <c r="A59" s="53"/>
      <c r="B59" s="53"/>
      <c r="C59" s="37" t="str">
        <f>IF(E56&lt;&gt;1,IF(E57&lt;&gt;1,IF(H59&lt;&gt;0,"Há Material não reutilizavel qual a destinação para ele?",""),""),"")</f>
        <v/>
      </c>
      <c r="D59" s="168" t="str">
        <f>IF(E56&lt;&gt;1,IF(E57&lt;&gt;1,IF(H59&lt;&gt;0,"Caçamba = 1; Aterro = 2",""),""),"")</f>
        <v/>
      </c>
      <c r="E59" s="169"/>
      <c r="F59" s="170"/>
      <c r="G59" s="37">
        <v>1</v>
      </c>
      <c r="H59" s="54">
        <f>IF(E56=1,0,IF(E57=1,0,ROUNDUP((IF(E26&lt;&gt;"",F26*0.66,0)+IF(E29&lt;&gt;"",F29*0.57,0)+IF(E31&lt;&gt;"",F31,0)+IF(E32&lt;&gt;"",F32*0.2,0)+IF(E33&lt;&gt;"",F33,0)+IF(E35&lt;&gt;"",F35*0.22,0)+IF(E36&lt;&gt;"",F36,0)+IF(E37&lt;&gt;"",F37,0)+IF(E39&lt;&gt;"",F39*0.02,0)+IF(E41&lt;&gt;"",F41*0.09,0)+IF(E42&lt;&gt;"",F42*0.74,0)+IF(E43&lt;&gt;"",F43*(1-0.24),0)+IF(E46&lt;&gt;"",F46,0)+IF(E47&lt;&gt;"",F47,0)+IF(E48&lt;&gt;"",F48,0)+IF(E49&lt;&gt;"",F49,0)+IF(E50&lt;&gt;"",F50,0)+IF(E51&lt;&gt;"",F51,0)+IF(E52&lt;&gt;"",F52,0)+IF(E30&lt;&gt;"",F30,0)+IF(E28&lt;&gt;"",F28,0)),2)))</f>
        <v>0</v>
      </c>
      <c r="I59" s="24"/>
      <c r="J59" s="24"/>
      <c r="K59" s="39"/>
      <c r="L59" s="40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6" ht="6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39">
        <f>SUMIF('Composição dos serv'!A:A,'PESM Itutinga Piloes pt2'!B60,'Composição dos serv'!K:K)</f>
        <v>0</v>
      </c>
      <c r="L60" s="40">
        <f>ROUNDUP(K60*E60,0)</f>
        <v>0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25" customHeight="1">
      <c r="A61" s="46" t="str">
        <f>A19</f>
        <v>D18</v>
      </c>
      <c r="B61" s="183" t="str">
        <f>C19</f>
        <v>EDIFICAÇÃO 16 - Gleba D18</v>
      </c>
      <c r="C61" s="169"/>
      <c r="D61" s="184" t="s">
        <v>280</v>
      </c>
      <c r="E61" s="169"/>
      <c r="F61" s="169"/>
      <c r="G61" s="55">
        <f>SUM(H22:H58)</f>
        <v>0</v>
      </c>
      <c r="H61" s="56"/>
      <c r="I61" s="24"/>
      <c r="J61" s="24"/>
      <c r="K61" s="39">
        <f>IF(SUM(L54:L57)&gt;SUM(L22:L52),SUM(L54:L57),SUM(L22:L52))</f>
        <v>71</v>
      </c>
      <c r="L61" s="40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6" ht="9.75" customHeight="1">
      <c r="A62" s="30"/>
      <c r="B62" s="44"/>
      <c r="C62" s="24"/>
      <c r="D62" s="44"/>
      <c r="E62" s="24"/>
      <c r="F62" s="24"/>
      <c r="G62" s="45"/>
      <c r="H62" s="45"/>
      <c r="I62" s="24"/>
      <c r="J62" s="24"/>
      <c r="K62" s="39">
        <f>SUMIF('Composição dos serv'!A:A,'PESM Itutinga Piloes pt2'!B62,'Composição dos serv'!K:K)</f>
        <v>0</v>
      </c>
      <c r="L62" s="40">
        <f t="shared" ref="L62:L64" si="14">ROUNDUP(K62*E62,0)</f>
        <v>0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9.5" customHeight="1">
      <c r="A63" s="57" t="s">
        <v>331</v>
      </c>
      <c r="B63" s="57">
        <v>2</v>
      </c>
      <c r="C63" s="58" t="s">
        <v>332</v>
      </c>
      <c r="D63" s="58"/>
      <c r="E63" s="58"/>
      <c r="F63" s="58"/>
      <c r="G63" s="58"/>
      <c r="H63" s="58"/>
      <c r="I63" s="24"/>
      <c r="J63" s="24"/>
      <c r="K63" s="39">
        <f>SUMIF('Composição dos serv'!A:A,'PESM Itutinga Piloes pt2'!B63,'Composição dos serv'!K:K)</f>
        <v>0</v>
      </c>
      <c r="L63" s="40">
        <f t="shared" si="14"/>
        <v>0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6" ht="6" hidden="1" customHeight="1">
      <c r="A64" s="59"/>
      <c r="B64" s="30"/>
      <c r="C64" s="30"/>
      <c r="D64" s="30"/>
      <c r="E64" s="30"/>
      <c r="F64" s="30"/>
      <c r="G64" s="30"/>
      <c r="H64" s="30"/>
      <c r="I64" s="24"/>
      <c r="J64" s="24"/>
      <c r="K64" s="39">
        <f>SUMIF('Composição dos serv'!A:A,'PESM Itutinga Piloes pt2'!B64,'Composição dos serv'!K:K)</f>
        <v>0</v>
      </c>
      <c r="L64" s="40">
        <f t="shared" si="14"/>
        <v>0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3" ht="14.25" customHeight="1">
      <c r="A65" s="33" t="str">
        <f>CONCATENATE(A63,".1")</f>
        <v>D19.1</v>
      </c>
      <c r="B65" s="33" t="s">
        <v>67</v>
      </c>
      <c r="C65" s="48" t="str">
        <f>VLOOKUP(B65,'Composição dos serv'!A:I,3,FALSE)</f>
        <v>DEMOLIÇÃO DE CALÇADAS E/OU CAMINHOS</v>
      </c>
      <c r="D65" s="48"/>
      <c r="E65" s="48"/>
      <c r="F65" s="48"/>
      <c r="G65" s="48"/>
      <c r="H65" s="48"/>
      <c r="I65" s="24"/>
      <c r="J65" s="24"/>
      <c r="K65" s="31"/>
      <c r="L65" s="32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4.25" hidden="1" customHeight="1">
      <c r="A66" s="26" t="str">
        <f>A65</f>
        <v>D19.1</v>
      </c>
      <c r="B66" s="26" t="s">
        <v>69</v>
      </c>
      <c r="C66" s="49" t="str">
        <f>VLOOKUP(B66,'Composição dos serv'!A:I,3,FALSE)</f>
        <v>Demolição de calçada ou caminhos</v>
      </c>
      <c r="D66" s="50" t="str">
        <f>VLOOKUP(B66,'Composição dos serv'!A:I,4,FALSE)</f>
        <v>m²</v>
      </c>
      <c r="E66" s="49"/>
      <c r="F66" s="49">
        <f>ROUNDUP(E66*0.15,2)</f>
        <v>0</v>
      </c>
      <c r="G66" s="51">
        <f>SUMIF('Composição dos serv'!A:A,'PESM Itutinga Piloes pt2'!B66,'Composição dos serv'!I:I)</f>
        <v>0</v>
      </c>
      <c r="H66" s="51">
        <f t="shared" ref="H66:H67" si="15">E66*G66</f>
        <v>0</v>
      </c>
      <c r="I66" s="24"/>
      <c r="J66" s="24"/>
      <c r="K66" s="39">
        <f>SUMIF('Composição dos serv'!A:A,B66,'Composição dos serv'!K:K)</f>
        <v>0.12</v>
      </c>
      <c r="L66" s="40">
        <f t="shared" ref="L66:L96" si="16">ROUNDUP(K66*E66,0)</f>
        <v>0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4.25" hidden="1" customHeight="1">
      <c r="A67" s="26" t="str">
        <f>A65</f>
        <v>D19.1</v>
      </c>
      <c r="B67" s="26" t="s">
        <v>75</v>
      </c>
      <c r="C67" s="37" t="str">
        <f>VLOOKUP(B67,'Composição dos serv'!A:I,3,FALSE)</f>
        <v>Demolição de via Asfaltada, em paralelepípedo ou intertravados</v>
      </c>
      <c r="D67" s="26" t="str">
        <f>VLOOKUP(B67,'Composição dos serv'!A:I,4,FALSE)</f>
        <v>m²</v>
      </c>
      <c r="E67" s="37"/>
      <c r="F67" s="37">
        <f>ROUNDUP(E67*0.2,2)</f>
        <v>0</v>
      </c>
      <c r="G67" s="38">
        <f>SUMIF('Composição dos serv'!A:A,'PESM Itutinga Piloes pt2'!B67,'Composição dos serv'!I:I)</f>
        <v>0</v>
      </c>
      <c r="H67" s="38">
        <f t="shared" si="15"/>
        <v>0</v>
      </c>
      <c r="I67" s="24"/>
      <c r="J67" s="24"/>
      <c r="K67" s="39">
        <f>SUMIF('Composição dos serv'!A:A,B67,'Composição dos serv'!K:K)</f>
        <v>0.06</v>
      </c>
      <c r="L67" s="40">
        <f t="shared" si="16"/>
        <v>0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4.25" customHeight="1">
      <c r="A68" s="33" t="str">
        <f>CONCATENATE(A63,".2")</f>
        <v>D19.2</v>
      </c>
      <c r="B68" s="33" t="s">
        <v>85</v>
      </c>
      <c r="C68" s="34" t="str">
        <f>VLOOKUP(B68,'Composição dos serv'!A:I,3,FALSE)</f>
        <v>DEMOLIÇÃO DE MUROS E CERCAS</v>
      </c>
      <c r="D68" s="35"/>
      <c r="E68" s="35"/>
      <c r="F68" s="35"/>
      <c r="G68" s="35"/>
      <c r="H68" s="36"/>
      <c r="I68" s="24"/>
      <c r="J68" s="24"/>
      <c r="K68" s="39">
        <f>SUMIF('Composição dos serv'!A:A,B68,'Composição dos serv'!K:K)</f>
        <v>0</v>
      </c>
      <c r="L68" s="40">
        <f t="shared" si="16"/>
        <v>0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4.25" hidden="1" customHeight="1">
      <c r="A69" s="26" t="str">
        <f>A68</f>
        <v>D19.2</v>
      </c>
      <c r="B69" s="26" t="s">
        <v>87</v>
      </c>
      <c r="C69" s="37" t="str">
        <f>VLOOKUP(B69,'Composição dos serv'!A:I,3,FALSE)</f>
        <v>Demolição de muro em alvenaria ou alambrados</v>
      </c>
      <c r="D69" s="26" t="str">
        <f>VLOOKUP(B69,'Composição dos serv'!A:I,4,FALSE)</f>
        <v>m</v>
      </c>
      <c r="E69" s="37"/>
      <c r="F69" s="37">
        <f>ROUNDUP(E69*0.2*2.4,2)</f>
        <v>0</v>
      </c>
      <c r="G69" s="38">
        <f>SUMIF('Composição dos serv'!A:A,'PESM Itutinga Piloes pt2'!B69,'Composição dos serv'!I:I)</f>
        <v>0</v>
      </c>
      <c r="H69" s="38">
        <f t="shared" ref="H69:H70" si="17">E69*G69</f>
        <v>0</v>
      </c>
      <c r="I69" s="24"/>
      <c r="J69" s="24"/>
      <c r="K69" s="39">
        <f>SUMIF('Composição dos serv'!A:A,B69,'Composição dos serv'!K:K)</f>
        <v>0.26</v>
      </c>
      <c r="L69" s="40">
        <f t="shared" si="16"/>
        <v>0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4.25" customHeight="1">
      <c r="A70" s="26" t="str">
        <f>A68</f>
        <v>D19.2</v>
      </c>
      <c r="B70" s="26" t="s">
        <v>93</v>
      </c>
      <c r="C70" s="37" t="str">
        <f>VLOOKUP(B70,'Composição dos serv'!A:I,3,FALSE)</f>
        <v>Demolição de Cercas</v>
      </c>
      <c r="D70" s="26" t="str">
        <f>VLOOKUP(B70,'Composição dos serv'!A:I,4,FALSE)</f>
        <v>m</v>
      </c>
      <c r="E70" s="37">
        <v>250</v>
      </c>
      <c r="F70" s="37">
        <f>ROUNDUP(E70*0.1*1.8,2)</f>
        <v>45</v>
      </c>
      <c r="G70" s="38">
        <f>SUMIF('Composição dos serv'!A:A,'PESM Itutinga Piloes pt2'!B70,'Composição dos serv'!I:I)</f>
        <v>0</v>
      </c>
      <c r="H70" s="38">
        <f t="shared" si="17"/>
        <v>0</v>
      </c>
      <c r="I70" s="24"/>
      <c r="J70" s="24"/>
      <c r="K70" s="39">
        <f>SUMIF('Composição dos serv'!A:A,B70,'Composição dos serv'!K:K)</f>
        <v>0.06</v>
      </c>
      <c r="L70" s="40">
        <f t="shared" si="16"/>
        <v>15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4.25" customHeight="1">
      <c r="A71" s="33" t="str">
        <f>CONCATENATE(A63,".3")</f>
        <v>D19.3</v>
      </c>
      <c r="B71" s="33" t="s">
        <v>99</v>
      </c>
      <c r="C71" s="48" t="str">
        <f>VLOOKUP(B71,'Composição dos serv'!A:I,3,FALSE)</f>
        <v>COBERTURA</v>
      </c>
      <c r="D71" s="48"/>
      <c r="E71" s="48"/>
      <c r="F71" s="48"/>
      <c r="G71" s="48"/>
      <c r="H71" s="48"/>
      <c r="I71" s="24"/>
      <c r="J71" s="24"/>
      <c r="K71" s="39">
        <f>SUMIF('Composição dos serv'!A:A,B71,'Composição dos serv'!K:K)</f>
        <v>0</v>
      </c>
      <c r="L71" s="40">
        <f t="shared" si="16"/>
        <v>0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4.25" hidden="1" customHeight="1">
      <c r="A72" s="26" t="str">
        <f t="shared" ref="A72:A77" si="18">A71</f>
        <v>D19.3</v>
      </c>
      <c r="B72" s="26" t="s">
        <v>101</v>
      </c>
      <c r="C72" s="37" t="str">
        <f>VLOOKUP(B72,'Composição dos serv'!A:I,3,FALSE)</f>
        <v>Retirada de Estrutura de madeira sem telhas</v>
      </c>
      <c r="D72" s="26" t="str">
        <f>VLOOKUP(B72,'Composição dos serv'!A:I,4,FALSE)</f>
        <v>m²</v>
      </c>
      <c r="E72" s="37"/>
      <c r="F72" s="37">
        <f>ROUNDUP(E72*0.2,2)</f>
        <v>0</v>
      </c>
      <c r="G72" s="38">
        <f>SUMIF('Composição dos serv'!A:A,'PESM Itutinga Piloes pt2'!B72,'Composição dos serv'!I:I)</f>
        <v>0</v>
      </c>
      <c r="H72" s="38">
        <f t="shared" ref="H72:H77" si="19">E72*G72</f>
        <v>0</v>
      </c>
      <c r="I72" s="24"/>
      <c r="J72" s="24"/>
      <c r="K72" s="39">
        <f>SUMIF('Composição dos serv'!A:A,B72,'Composição dos serv'!K:K)</f>
        <v>0.03</v>
      </c>
      <c r="L72" s="40">
        <f t="shared" si="16"/>
        <v>0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4.25" hidden="1" customHeight="1">
      <c r="A73" s="26" t="str">
        <f t="shared" si="18"/>
        <v>D19.3</v>
      </c>
      <c r="B73" s="26" t="s">
        <v>105</v>
      </c>
      <c r="C73" s="37" t="str">
        <f>VLOOKUP(B73,'Composição dos serv'!A:I,3,FALSE)</f>
        <v>Retirada de Telhas de Barro com Estrutura em madeira (tesouras, treliças,...)</v>
      </c>
      <c r="D73" s="26" t="str">
        <f>VLOOKUP(B73,'Composição dos serv'!A:I,4,FALSE)</f>
        <v>m²</v>
      </c>
      <c r="E73" s="37"/>
      <c r="F73" s="37">
        <f>ROUNDUP(E73*0.08+E73*0.2,2)</f>
        <v>0</v>
      </c>
      <c r="G73" s="38">
        <f>SUMIF('Composição dos serv'!A:A,'PESM Itutinga Piloes pt2'!B73,'Composição dos serv'!I:I)</f>
        <v>0</v>
      </c>
      <c r="H73" s="38">
        <f t="shared" si="19"/>
        <v>0</v>
      </c>
      <c r="I73" s="24"/>
      <c r="J73" s="24"/>
      <c r="K73" s="39">
        <f>SUMIF('Composição dos serv'!A:A,B73,'Composição dos serv'!K:K)</f>
        <v>0.06</v>
      </c>
      <c r="L73" s="40">
        <f t="shared" si="16"/>
        <v>0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4.25" hidden="1" customHeight="1">
      <c r="A74" s="26" t="str">
        <f t="shared" si="18"/>
        <v>D19.3</v>
      </c>
      <c r="B74" s="26" t="s">
        <v>111</v>
      </c>
      <c r="C74" s="37" t="str">
        <f>VLOOKUP(B74,'Composição dos serv'!A:I,3,FALSE)</f>
        <v>Retirada de Telhas de amianto Sem Estrutura</v>
      </c>
      <c r="D74" s="26" t="str">
        <f>VLOOKUP(B74,'Composição dos serv'!A:I,4,FALSE)</f>
        <v>m²</v>
      </c>
      <c r="E74" s="37"/>
      <c r="F74" s="37"/>
      <c r="G74" s="38">
        <f>SUMIF('Composição dos serv'!A:A,'PESM Itutinga Piloes pt2'!B74,'Composição dos serv'!I:I)</f>
        <v>0</v>
      </c>
      <c r="H74" s="38">
        <f t="shared" si="19"/>
        <v>0</v>
      </c>
      <c r="I74" s="24"/>
      <c r="J74" s="24"/>
      <c r="K74" s="39">
        <f>SUMIF('Composição dos serv'!A:A,B74,'Composição dos serv'!K:K)</f>
        <v>0.02</v>
      </c>
      <c r="L74" s="40">
        <f t="shared" si="16"/>
        <v>0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4.25" customHeight="1">
      <c r="A75" s="26" t="str">
        <f t="shared" si="18"/>
        <v>D19.3</v>
      </c>
      <c r="B75" s="26" t="s">
        <v>117</v>
      </c>
      <c r="C75" s="37" t="str">
        <f>VLOOKUP(B75,'Composição dos serv'!A:I,3,FALSE)</f>
        <v>Retirada de Telhas de amianto com Estrutura em madeira (tesouras, treliças,...)</v>
      </c>
      <c r="D75" s="26" t="str">
        <f>VLOOKUP(B75,'Composição dos serv'!A:I,4,FALSE)</f>
        <v>m²</v>
      </c>
      <c r="E75" s="37">
        <v>72</v>
      </c>
      <c r="F75" s="37">
        <f>ROUNDUP(E75*0.1,2)</f>
        <v>7.2</v>
      </c>
      <c r="G75" s="38">
        <f>SUMIF('Composição dos serv'!A:A,'PESM Itutinga Piloes pt2'!B75,'Composição dos serv'!I:I)</f>
        <v>0</v>
      </c>
      <c r="H75" s="38">
        <f t="shared" si="19"/>
        <v>0</v>
      </c>
      <c r="I75" s="24"/>
      <c r="J75" s="24"/>
      <c r="K75" s="39">
        <f>SUMIF('Composição dos serv'!A:A,B75,'Composição dos serv'!K:K)</f>
        <v>0.04</v>
      </c>
      <c r="L75" s="40">
        <f t="shared" si="16"/>
        <v>3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4.25" hidden="1" customHeight="1">
      <c r="A76" s="26" t="str">
        <f t="shared" si="18"/>
        <v>D19.3</v>
      </c>
      <c r="B76" s="26" t="s">
        <v>121</v>
      </c>
      <c r="C76" s="37" t="str">
        <f>VLOOKUP(B76,'Composição dos serv'!A:I,3,FALSE)</f>
        <v>Retirada de Laje em concreto</v>
      </c>
      <c r="D76" s="26" t="str">
        <f>VLOOKUP(B76,'Composição dos serv'!A:I,4,FALSE)</f>
        <v>m²</v>
      </c>
      <c r="E76" s="37"/>
      <c r="F76" s="37">
        <f>ROUNDUP(E76*0.12,2)</f>
        <v>0</v>
      </c>
      <c r="G76" s="38">
        <f>SUMIF('Composição dos serv'!A:A,'PESM Itutinga Piloes pt2'!B76,'Composição dos serv'!I:I)</f>
        <v>0</v>
      </c>
      <c r="H76" s="38">
        <f t="shared" si="19"/>
        <v>0</v>
      </c>
      <c r="I76" s="24"/>
      <c r="J76" s="24"/>
      <c r="K76" s="39">
        <f>SUMIF('Composição dos serv'!A:A,B76,'Composição dos serv'!K:K)</f>
        <v>0.09</v>
      </c>
      <c r="L76" s="40">
        <f t="shared" si="16"/>
        <v>0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4.25" hidden="1" customHeight="1">
      <c r="A77" s="26" t="str">
        <f t="shared" si="18"/>
        <v>D19.3</v>
      </c>
      <c r="B77" s="26" t="s">
        <v>129</v>
      </c>
      <c r="C77" s="37" t="str">
        <f>VLOOKUP(B77,'Composição dos serv'!A:I,3,FALSE)</f>
        <v>Retirada de Forros qualquer com sistema de fixação</v>
      </c>
      <c r="D77" s="26" t="str">
        <f>VLOOKUP(B77,'Composição dos serv'!A:I,4,FALSE)</f>
        <v>m²</v>
      </c>
      <c r="E77" s="37"/>
      <c r="F77" s="37">
        <f>ROUNDUP(E77*0.1,2)</f>
        <v>0</v>
      </c>
      <c r="G77" s="38">
        <f>SUMIF('Composição dos serv'!A:A,'PESM Itutinga Piloes pt2'!B77,'Composição dos serv'!I:I)</f>
        <v>0</v>
      </c>
      <c r="H77" s="38">
        <f t="shared" si="19"/>
        <v>0</v>
      </c>
      <c r="I77" s="24"/>
      <c r="J77" s="24"/>
      <c r="K77" s="39">
        <f>SUMIF('Composição dos serv'!A:A,B77,'Composição dos serv'!K:K)</f>
        <v>0.04</v>
      </c>
      <c r="L77" s="40">
        <f t="shared" si="16"/>
        <v>0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4.25" customHeight="1">
      <c r="A78" s="33" t="str">
        <f>CONCATENATE(A63,".4")</f>
        <v>D19.4</v>
      </c>
      <c r="B78" s="33" t="s">
        <v>133</v>
      </c>
      <c r="C78" s="34" t="str">
        <f>VLOOKUP(B78,'Composição dos serv'!A:I,3,FALSE)</f>
        <v>PAREDES</v>
      </c>
      <c r="D78" s="35"/>
      <c r="E78" s="35"/>
      <c r="F78" s="35"/>
      <c r="G78" s="35"/>
      <c r="H78" s="36"/>
      <c r="I78" s="24"/>
      <c r="J78" s="24"/>
      <c r="K78" s="39">
        <f>SUMIF('Composição dos serv'!A:A,B78,'Composição dos serv'!K:K)</f>
        <v>0</v>
      </c>
      <c r="L78" s="40">
        <f t="shared" si="16"/>
        <v>0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4.25" customHeight="1">
      <c r="A79" s="26" t="str">
        <f>A78</f>
        <v>D19.4</v>
      </c>
      <c r="B79" s="26" t="s">
        <v>135</v>
      </c>
      <c r="C79" s="37" t="str">
        <f>VLOOKUP(B79,'Composição dos serv'!A:I,3,FALSE)</f>
        <v>Parede em Alvenaria - usar área construida</v>
      </c>
      <c r="D79" s="26" t="str">
        <f>VLOOKUP(B79,'Composição dos serv'!A:I,4,FALSE)</f>
        <v>m²</v>
      </c>
      <c r="E79" s="49">
        <v>72</v>
      </c>
      <c r="F79" s="37">
        <f>ROUNDUP(E79*0.8,2)</f>
        <v>57.6</v>
      </c>
      <c r="G79" s="38">
        <f>SUMIF('Composição dos serv'!A:A,B79,'Composição dos serv'!I:I)</f>
        <v>0</v>
      </c>
      <c r="H79" s="38">
        <f t="shared" ref="H79:H81" si="20">E79*G79</f>
        <v>0</v>
      </c>
      <c r="I79" s="24"/>
      <c r="J79" s="24"/>
      <c r="K79" s="39">
        <f>SUMIF('Composição dos serv'!A:A,B79,'Composição dos serv'!K:K)</f>
        <v>0.15000000000000002</v>
      </c>
      <c r="L79" s="40">
        <f t="shared" si="16"/>
        <v>11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4.25" hidden="1" customHeight="1">
      <c r="A80" s="26" t="str">
        <f>A78</f>
        <v>D19.4</v>
      </c>
      <c r="B80" s="26" t="s">
        <v>143</v>
      </c>
      <c r="C80" s="37" t="str">
        <f>VLOOKUP(B80,'Composição dos serv'!A:I,3,FALSE)</f>
        <v>Parede em Madeirite - Chapas de madeira compensada ou aglomerada - área construída</v>
      </c>
      <c r="D80" s="26" t="str">
        <f>VLOOKUP(B80,'Composição dos serv'!A:I,4,FALSE)</f>
        <v>m²</v>
      </c>
      <c r="E80" s="37"/>
      <c r="F80" s="37">
        <f>ROUNDUP(E80*0.21,2)</f>
        <v>0</v>
      </c>
      <c r="G80" s="38">
        <f>SUMIF('Composição dos serv'!A:A,B80,'Composição dos serv'!I:I)</f>
        <v>0</v>
      </c>
      <c r="H80" s="38">
        <f t="shared" si="20"/>
        <v>0</v>
      </c>
      <c r="I80" s="24"/>
      <c r="J80" s="24"/>
      <c r="K80" s="39">
        <f>SUMIF('Composição dos serv'!A:A,B80,'Composição dos serv'!K:K)</f>
        <v>0.15000000000000002</v>
      </c>
      <c r="L80" s="40">
        <f t="shared" si="16"/>
        <v>0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4.25" hidden="1" customHeight="1">
      <c r="A81" s="26" t="str">
        <f>A78</f>
        <v>D19.4</v>
      </c>
      <c r="B81" s="26" t="s">
        <v>145</v>
      </c>
      <c r="C81" s="37" t="str">
        <f>VLOOKUP(B81,'Composição dos serv'!A:I,3,FALSE)</f>
        <v>Parede em Lambril de madeira - área construída</v>
      </c>
      <c r="D81" s="26" t="str">
        <f>VLOOKUP(B81,'Composição dos serv'!A:I,4,FALSE)</f>
        <v>m²</v>
      </c>
      <c r="E81" s="37"/>
      <c r="F81" s="37">
        <f>ROUNDUP(E81*4*0.12,2)</f>
        <v>0</v>
      </c>
      <c r="G81" s="38">
        <f>SUMIF('Composição dos serv'!A:A,B81,'Composição dos serv'!I:I)</f>
        <v>0</v>
      </c>
      <c r="H81" s="38">
        <f t="shared" si="20"/>
        <v>0</v>
      </c>
      <c r="I81" s="24"/>
      <c r="J81" s="24"/>
      <c r="K81" s="39">
        <f>SUMIF('Composição dos serv'!A:A,B81,'Composição dos serv'!K:K)</f>
        <v>0.35000000000000009</v>
      </c>
      <c r="L81" s="40">
        <f t="shared" si="16"/>
        <v>0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4.25" customHeight="1">
      <c r="A82" s="33" t="str">
        <f>CONCATENATE(A63,".5")</f>
        <v>D19.5</v>
      </c>
      <c r="B82" s="33" t="s">
        <v>153</v>
      </c>
      <c r="C82" s="34" t="str">
        <f>VLOOKUP(B82,'Composição dos serv'!A:I,3,FALSE)</f>
        <v>PISO E FUNDAÇÃO</v>
      </c>
      <c r="D82" s="35"/>
      <c r="E82" s="35"/>
      <c r="F82" s="35"/>
      <c r="G82" s="35"/>
      <c r="H82" s="36"/>
      <c r="I82" s="24"/>
      <c r="J82" s="24"/>
      <c r="K82" s="39">
        <f>SUMIF('Composição dos serv'!A:A,B82,'Composição dos serv'!K:K)</f>
        <v>0</v>
      </c>
      <c r="L82" s="40">
        <f t="shared" si="16"/>
        <v>0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4.25" hidden="1" customHeight="1">
      <c r="A83" s="26" t="str">
        <f>A82</f>
        <v>D19.5</v>
      </c>
      <c r="B83" s="26" t="s">
        <v>155</v>
      </c>
      <c r="C83" s="37" t="str">
        <f>VLOOKUP(B83,'Composição dos serv'!A:I,3,FALSE)</f>
        <v>Piso da edificação com fundação</v>
      </c>
      <c r="D83" s="26" t="str">
        <f>VLOOKUP(B83,'Composição dos serv'!A:I,4,FALSE)</f>
        <v>m²</v>
      </c>
      <c r="E83" s="37"/>
      <c r="F83" s="37">
        <f>ROUNDUP(E83*0.24,2)</f>
        <v>0</v>
      </c>
      <c r="G83" s="38">
        <f>SUMIF('Composição dos serv'!A:A,B83,'Composição dos serv'!I:I)</f>
        <v>0</v>
      </c>
      <c r="H83" s="38">
        <f>E83*G83</f>
        <v>0</v>
      </c>
      <c r="I83" s="24"/>
      <c r="J83" s="24"/>
      <c r="K83" s="39">
        <f>SUMIF('Composição dos serv'!A:A,B83,'Composição dos serv'!K:K)</f>
        <v>0.17</v>
      </c>
      <c r="L83" s="40">
        <f t="shared" si="16"/>
        <v>0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4.25" customHeight="1">
      <c r="A84" s="33" t="str">
        <f>CONCATENATE(A63,".6")</f>
        <v>D19.6</v>
      </c>
      <c r="B84" s="33" t="s">
        <v>161</v>
      </c>
      <c r="C84" s="48" t="str">
        <f>VLOOKUP(B84,'Composição dos serv'!A:I,3,FALSE)</f>
        <v>ESTRUTURAS DIVERSAS</v>
      </c>
      <c r="D84" s="48"/>
      <c r="E84" s="48"/>
      <c r="F84" s="48"/>
      <c r="G84" s="48"/>
      <c r="H84" s="48"/>
      <c r="I84" s="24"/>
      <c r="J84" s="24"/>
      <c r="K84" s="39">
        <f>SUMIF('Composição dos serv'!A:A,B84,'Composição dos serv'!K:K)</f>
        <v>0</v>
      </c>
      <c r="L84" s="40">
        <f t="shared" si="16"/>
        <v>0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ht="14.25" hidden="1" customHeight="1">
      <c r="A85" s="26" t="str">
        <f>A84</f>
        <v>D19.6</v>
      </c>
      <c r="B85" s="26" t="s">
        <v>163</v>
      </c>
      <c r="C85" s="37" t="str">
        <f>VLOOKUP(B85,'Composição dos serv'!A:I,3,FALSE)</f>
        <v>Escada em concreto com corrimão</v>
      </c>
      <c r="D85" s="26" t="str">
        <f>VLOOKUP(B85,'Composição dos serv'!A:I,4,FALSE)</f>
        <v>m</v>
      </c>
      <c r="E85" s="49"/>
      <c r="F85" s="37">
        <f>ROUNDUP(E85*1.2*0.25,2)</f>
        <v>0</v>
      </c>
      <c r="G85" s="38">
        <f>SUMIF('Composição dos serv'!A:A,'PESM Itutinga Piloes pt2'!B85,'Composição dos serv'!I:I)</f>
        <v>0</v>
      </c>
      <c r="H85" s="38">
        <f t="shared" ref="H85:H88" si="21">E85*G85</f>
        <v>0</v>
      </c>
      <c r="I85" s="24"/>
      <c r="J85" s="24"/>
      <c r="K85" s="39">
        <f>SUMIF('Composição dos serv'!A:A,B85,'Composição dos serv'!K:K)</f>
        <v>0.39</v>
      </c>
      <c r="L85" s="40">
        <f t="shared" si="16"/>
        <v>0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4.25" customHeight="1">
      <c r="A86" s="26" t="str">
        <f>A84</f>
        <v>D19.6</v>
      </c>
      <c r="B86" s="26" t="s">
        <v>169</v>
      </c>
      <c r="C86" s="37" t="str">
        <f>VLOOKUP(B86,'Composição dos serv'!A:I,3,FALSE)</f>
        <v>Entrada de Energia - medidor</v>
      </c>
      <c r="D86" s="26" t="str">
        <f>VLOOKUP(B86,'Composição dos serv'!A:I,4,FALSE)</f>
        <v>un</v>
      </c>
      <c r="E86" s="37">
        <v>1</v>
      </c>
      <c r="F86" s="37">
        <f>ROUNDUP(E86*(3.2+(((3.1415*0.4^2)/4)*6)),2)</f>
        <v>3.96</v>
      </c>
      <c r="G86" s="38">
        <f>SUMIF('Composição dos serv'!A:A,'PESM Itutinga Piloes pt2'!B86,'Composição dos serv'!I:I)</f>
        <v>0</v>
      </c>
      <c r="H86" s="38">
        <f t="shared" si="21"/>
        <v>0</v>
      </c>
      <c r="I86" s="24"/>
      <c r="J86" s="24"/>
      <c r="K86" s="39">
        <f>SUMIF('Composição dos serv'!A:A,B86,'Composição dos serv'!K:K)</f>
        <v>1.7600000000000002</v>
      </c>
      <c r="L86" s="40">
        <f t="shared" si="16"/>
        <v>2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14.25" customHeight="1">
      <c r="A87" s="26" t="str">
        <f>A84</f>
        <v>D19.6</v>
      </c>
      <c r="B87" s="26" t="s">
        <v>183</v>
      </c>
      <c r="C87" s="37" t="str">
        <f>VLOOKUP(B87,'Composição dos serv'!A:I,3,FALSE)</f>
        <v>Hidrômetro com abrigo</v>
      </c>
      <c r="D87" s="26" t="str">
        <f>VLOOKUP(B87,'Composição dos serv'!A:I,4,FALSE)</f>
        <v>un</v>
      </c>
      <c r="E87" s="37">
        <v>1</v>
      </c>
      <c r="F87" s="37">
        <f>ROUNDUP(E87*(1.7+0.1),2)</f>
        <v>1.8</v>
      </c>
      <c r="G87" s="38">
        <f>SUMIF('Composição dos serv'!A:A,'PESM Itutinga Piloes pt2'!B87,'Composição dos serv'!I:I)</f>
        <v>0</v>
      </c>
      <c r="H87" s="38">
        <f t="shared" si="21"/>
        <v>0</v>
      </c>
      <c r="I87" s="24"/>
      <c r="J87" s="24"/>
      <c r="K87" s="39">
        <f>SUMIF('Composição dos serv'!A:A,B87,'Composição dos serv'!K:K)</f>
        <v>0.44000000000000006</v>
      </c>
      <c r="L87" s="40">
        <f t="shared" si="16"/>
        <v>1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14.25" customHeight="1">
      <c r="A88" s="26" t="str">
        <f>A86</f>
        <v>D19.6</v>
      </c>
      <c r="B88" s="26" t="s">
        <v>191</v>
      </c>
      <c r="C88" s="37" t="str">
        <f>VLOOKUP(B88,'Composição dos serv'!A:I,3,FALSE)</f>
        <v>Aterro de Fossa com retirada de tampa</v>
      </c>
      <c r="D88" s="26" t="str">
        <f>VLOOKUP(B88,'Composição dos serv'!A:I,4,FALSE)</f>
        <v>un</v>
      </c>
      <c r="E88" s="37">
        <v>1</v>
      </c>
      <c r="F88" s="37">
        <f>ROUNDUP(E88*(0.4),2)</f>
        <v>0.4</v>
      </c>
      <c r="G88" s="38">
        <f>SUMIF('Composição dos serv'!A:A,'PESM Itutinga Piloes pt2'!B88,'Composição dos serv'!I:I)</f>
        <v>0</v>
      </c>
      <c r="H88" s="38">
        <f t="shared" si="21"/>
        <v>0</v>
      </c>
      <c r="I88" s="24"/>
      <c r="J88" s="24"/>
      <c r="K88" s="39">
        <f>SUMIF('Composição dos serv'!A:A,B88,'Composição dos serv'!K:K)</f>
        <v>0.85000000000000009</v>
      </c>
      <c r="L88" s="40">
        <f t="shared" si="16"/>
        <v>1</v>
      </c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14.25" customHeight="1">
      <c r="A89" s="33" t="str">
        <f>CONCATENATE(A63,".7")</f>
        <v>D19.7</v>
      </c>
      <c r="B89" s="33" t="s">
        <v>195</v>
      </c>
      <c r="C89" s="48" t="str">
        <f>VLOOKUP(B89,'Composição dos serv'!A:I,3,FALSE)</f>
        <v>ACABAMENTOS DIVERSOS e OUTROS</v>
      </c>
      <c r="D89" s="48"/>
      <c r="E89" s="48"/>
      <c r="F89" s="48"/>
      <c r="G89" s="48"/>
      <c r="H89" s="48"/>
      <c r="I89" s="24"/>
      <c r="J89" s="24"/>
      <c r="K89" s="39">
        <f>SUMIF('Composição dos serv'!A:A,B89,'Composição dos serv'!K:K)</f>
        <v>0</v>
      </c>
      <c r="L89" s="40">
        <f t="shared" si="16"/>
        <v>0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4.25" customHeight="1">
      <c r="A90" s="26" t="str">
        <f>A89</f>
        <v>D19.7</v>
      </c>
      <c r="B90" s="50" t="s">
        <v>197</v>
      </c>
      <c r="C90" s="49" t="str">
        <f>VLOOKUP(B90,'Composição dos serv'!A:I,3,FALSE)</f>
        <v>Remoção de aparelhos sanitarios - por banheiro</v>
      </c>
      <c r="D90" s="50" t="str">
        <f>VLOOKUP(B90,'Composição dos serv'!A:I,4,FALSE)</f>
        <v>unid</v>
      </c>
      <c r="E90" s="49">
        <v>1</v>
      </c>
      <c r="F90" s="37">
        <f t="shared" ref="F90:F92" si="22">ROUNDUP(E90*1,2)</f>
        <v>1</v>
      </c>
      <c r="G90" s="51">
        <f>SUMIF('Composição dos serv'!A:A,B90,'Composição dos serv'!I:I)</f>
        <v>0</v>
      </c>
      <c r="H90" s="51">
        <f t="shared" ref="H90:H96" si="23">E90*G90</f>
        <v>0</v>
      </c>
      <c r="I90" s="24"/>
      <c r="J90" s="24"/>
      <c r="K90" s="39">
        <f>SUMIF('Composição dos serv'!A:A,B90,'Composição dos serv'!K:K)</f>
        <v>0.19</v>
      </c>
      <c r="L90" s="40">
        <f t="shared" si="16"/>
        <v>1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4.25" customHeight="1">
      <c r="A91" s="26" t="str">
        <f>A89</f>
        <v>D19.7</v>
      </c>
      <c r="B91" s="50" t="s">
        <v>209</v>
      </c>
      <c r="C91" s="37" t="str">
        <f>VLOOKUP(B91,'Composição dos serv'!A:I,3,FALSE)</f>
        <v>Remoção de aparelhos sanitarios - Cozinha e Área de Serviço</v>
      </c>
      <c r="D91" s="26" t="str">
        <f>VLOOKUP(B91,'Composição dos serv'!A:I,4,FALSE)</f>
        <v>unid</v>
      </c>
      <c r="E91" s="37">
        <v>1</v>
      </c>
      <c r="F91" s="37">
        <f t="shared" si="22"/>
        <v>1</v>
      </c>
      <c r="G91" s="51">
        <f>SUMIF('Composição dos serv'!A:A,B91,'Composição dos serv'!I:I)</f>
        <v>0</v>
      </c>
      <c r="H91" s="38">
        <f t="shared" si="23"/>
        <v>0</v>
      </c>
      <c r="I91" s="24"/>
      <c r="J91" s="24"/>
      <c r="K91" s="39">
        <f>SUMIF('Composição dos serv'!A:A,B91,'Composição dos serv'!K:K)</f>
        <v>0.21</v>
      </c>
      <c r="L91" s="40">
        <f t="shared" si="16"/>
        <v>1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4.25" customHeight="1">
      <c r="A92" s="26" t="str">
        <f>A89</f>
        <v>D19.7</v>
      </c>
      <c r="B92" s="50" t="s">
        <v>215</v>
      </c>
      <c r="C92" s="37" t="str">
        <f>VLOOKUP(B92,'Composição dos serv'!A:I,3,FALSE)</f>
        <v>Remoção de caixa d'agua</v>
      </c>
      <c r="D92" s="26" t="str">
        <f>VLOOKUP(B92,'Composição dos serv'!A:I,4,FALSE)</f>
        <v>unid</v>
      </c>
      <c r="E92" s="37">
        <v>1</v>
      </c>
      <c r="F92" s="37">
        <f t="shared" si="22"/>
        <v>1</v>
      </c>
      <c r="G92" s="51">
        <f>SUMIF('Composição dos serv'!A:A,B92,'Composição dos serv'!I:I)</f>
        <v>0</v>
      </c>
      <c r="H92" s="38">
        <f t="shared" si="23"/>
        <v>0</v>
      </c>
      <c r="I92" s="24"/>
      <c r="J92" s="24"/>
      <c r="K92" s="39">
        <f>SUMIF('Composição dos serv'!A:A,B92,'Composição dos serv'!K:K)</f>
        <v>0.42000000000000004</v>
      </c>
      <c r="L92" s="40">
        <f t="shared" si="16"/>
        <v>1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14.25" hidden="1" customHeight="1">
      <c r="A93" s="26" t="str">
        <f>A89</f>
        <v>D19.7</v>
      </c>
      <c r="B93" s="50" t="s">
        <v>219</v>
      </c>
      <c r="C93" s="37" t="str">
        <f>VLOOKUP(B93,'Composição dos serv'!A:I,3,FALSE)</f>
        <v>Remoção do Sistema de Para raios - área do telhado</v>
      </c>
      <c r="D93" s="26" t="str">
        <f>VLOOKUP(B93,'Composição dos serv'!A:I,4,FALSE)</f>
        <v>m²</v>
      </c>
      <c r="E93" s="37"/>
      <c r="F93" s="37">
        <f>ROUNDUP(E93/60,2)</f>
        <v>0</v>
      </c>
      <c r="G93" s="51">
        <f>SUMIF('Composição dos serv'!A:A,B93,'Composição dos serv'!I:I)</f>
        <v>0</v>
      </c>
      <c r="H93" s="38">
        <f t="shared" si="23"/>
        <v>0</v>
      </c>
      <c r="I93" s="24"/>
      <c r="J93" s="24"/>
      <c r="K93" s="39">
        <f>SUMIF('Composição dos serv'!A:A,B93,'Composição dos serv'!K:K)</f>
        <v>0.05</v>
      </c>
      <c r="L93" s="40">
        <f t="shared" si="16"/>
        <v>0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4.25" customHeight="1">
      <c r="A94" s="26" t="str">
        <f>A89</f>
        <v>D19.7</v>
      </c>
      <c r="B94" s="50" t="s">
        <v>227</v>
      </c>
      <c r="C94" s="37" t="str">
        <f>VLOOKUP(B94,'Composição dos serv'!A:I,3,FALSE)</f>
        <v>Janelas</v>
      </c>
      <c r="D94" s="26" t="str">
        <f>VLOOKUP(B94,'Composição dos serv'!A:I,4,FALSE)</f>
        <v>un</v>
      </c>
      <c r="E94" s="37">
        <v>6</v>
      </c>
      <c r="F94" s="37">
        <f>ROUNDUP(E94*1.5*1.2*0.2,2)</f>
        <v>2.16</v>
      </c>
      <c r="G94" s="51">
        <f>SUMIF('Composição dos serv'!A:A,B94,'Composição dos serv'!I:I)</f>
        <v>0</v>
      </c>
      <c r="H94" s="38">
        <f t="shared" si="23"/>
        <v>0</v>
      </c>
      <c r="I94" s="24"/>
      <c r="J94" s="24"/>
      <c r="K94" s="39">
        <f>SUMIF('Composição dos serv'!A:A,B94,'Composição dos serv'!K:K)</f>
        <v>0</v>
      </c>
      <c r="L94" s="40">
        <f t="shared" si="16"/>
        <v>0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4.25" customHeight="1">
      <c r="A95" s="26" t="str">
        <f>A89</f>
        <v>D19.7</v>
      </c>
      <c r="B95" s="50" t="s">
        <v>234</v>
      </c>
      <c r="C95" s="37" t="str">
        <f>VLOOKUP(B95,'Composição dos serv'!A:I,3,FALSE)</f>
        <v>Portas</v>
      </c>
      <c r="D95" s="26" t="str">
        <f>VLOOKUP(B95,'Composição dos serv'!A:I,4,FALSE)</f>
        <v>un</v>
      </c>
      <c r="E95" s="37">
        <v>2</v>
      </c>
      <c r="F95" s="37">
        <f>ROUNDUP(E95*2.1*0.9*0.2,2)</f>
        <v>0.76</v>
      </c>
      <c r="G95" s="51">
        <f>SUMIF('Composição dos serv'!A:A,B95,'Composição dos serv'!I:I)</f>
        <v>0</v>
      </c>
      <c r="H95" s="38">
        <f t="shared" si="23"/>
        <v>0</v>
      </c>
      <c r="I95" s="24"/>
      <c r="J95" s="24"/>
      <c r="K95" s="39">
        <f>SUMIF('Composição dos serv'!A:A,B95,'Composição dos serv'!K:K)</f>
        <v>0</v>
      </c>
      <c r="L95" s="40">
        <f t="shared" si="16"/>
        <v>0</v>
      </c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4.25" hidden="1" customHeight="1">
      <c r="A96" s="26" t="str">
        <f>A89</f>
        <v>D19.7</v>
      </c>
      <c r="B96" s="50" t="s">
        <v>236</v>
      </c>
      <c r="C96" s="37" t="str">
        <f>VLOOKUP(B96,'Composição dos serv'!A:I,3,FALSE)</f>
        <v>Guarda corpo de metal</v>
      </c>
      <c r="D96" s="26" t="str">
        <f>VLOOKUP(B96,'Composição dos serv'!A:I,4,FALSE)</f>
        <v>m</v>
      </c>
      <c r="E96" s="37"/>
      <c r="F96" s="37">
        <f>ROUNDUP(E96*1.7*0.05,2)</f>
        <v>0</v>
      </c>
      <c r="G96" s="51">
        <f>SUMIF('Composição dos serv'!A:A,B96,'Composição dos serv'!I:I)</f>
        <v>0</v>
      </c>
      <c r="H96" s="38">
        <f t="shared" si="23"/>
        <v>0</v>
      </c>
      <c r="I96" s="24"/>
      <c r="J96" s="24"/>
      <c r="K96" s="39">
        <f>SUMIF('Composição dos serv'!A:A,B96,'Composição dos serv'!K:K)</f>
        <v>0</v>
      </c>
      <c r="L96" s="40">
        <f t="shared" si="16"/>
        <v>0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6" ht="14.25" customHeight="1">
      <c r="A97" s="33" t="str">
        <f>CONCATENATE(A63,".8")</f>
        <v>D19.8</v>
      </c>
      <c r="B97" s="33" t="s">
        <v>240</v>
      </c>
      <c r="C97" s="48" t="str">
        <f>VLOOKUP(B97,'Composição dos serv'!A:I,3,FALSE)</f>
        <v>ENTULHO</v>
      </c>
      <c r="D97" s="48"/>
      <c r="E97" s="48"/>
      <c r="F97" s="48"/>
      <c r="G97" s="48"/>
      <c r="H97" s="48"/>
      <c r="I97" s="24"/>
      <c r="J97" s="24"/>
      <c r="K97" s="39">
        <f>SUMIF('Composição dos serv'!A:A,B97,'Composição dos serv'!K:K)</f>
        <v>0</v>
      </c>
      <c r="L97" s="40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6" ht="14.25" hidden="1" customHeight="1">
      <c r="A98" s="26" t="str">
        <f>A97</f>
        <v>D19.8</v>
      </c>
      <c r="B98" s="50" t="s">
        <v>242</v>
      </c>
      <c r="C98" s="49" t="str">
        <f>VLOOKUP(B98,'Composição dos serv'!A:I,3,FALSE)</f>
        <v>Transporte e espalhamento Manual do entulho a ser reutilizado</v>
      </c>
      <c r="D98" s="50" t="s">
        <v>291</v>
      </c>
      <c r="E98" s="49"/>
      <c r="F98" s="52">
        <f>IF(E98=1,ROUNDUP((IF(E66&lt;&gt;"",F66,0)+IF(E67&lt;&gt;"",F67,0)+IF(E69&lt;&gt;"",F69,0)+IF(E70&lt;&gt;"",F70*0.34,0)+IF(E73&lt;&gt;"",F73*0.43,0)+IF(E76&lt;&gt;"",F76*0.8,0)+IF(E79&lt;&gt;"",F79*(0.78),0)+IF(E83&lt;&gt;"",F83*0.98,0)+IF(E85&lt;&gt;"",F85*0.91,0)+IF(E86&lt;&gt;"",F86*0.26,0)+IF(E87&lt;&gt;"",F87*0.24,0)+IF(E88&lt;&gt;"",F88,0)),2),0)</f>
        <v>0</v>
      </c>
      <c r="G98" s="51">
        <f>SUMIF('Composição dos serv'!A:A,B98,'Composição dos serv'!I:I)</f>
        <v>0</v>
      </c>
      <c r="H98" s="51">
        <f t="shared" ref="H98:H99" si="24">F98*G98</f>
        <v>0</v>
      </c>
      <c r="I98" s="24"/>
      <c r="J98" s="24"/>
      <c r="K98" s="39">
        <f>SUMIF('Composição dos serv'!A:A,B98,'Composição dos serv'!K:K)</f>
        <v>0.15000000000000002</v>
      </c>
      <c r="L98" s="40">
        <f t="shared" ref="L98:L101" si="25">ROUNDUP(K98*F98,0)</f>
        <v>0</v>
      </c>
      <c r="M98" s="45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6" ht="14.25" hidden="1" customHeight="1">
      <c r="A99" s="26" t="str">
        <f>A97</f>
        <v>D19.8</v>
      </c>
      <c r="B99" s="50" t="s">
        <v>246</v>
      </c>
      <c r="C99" s="49" t="str">
        <f>VLOOKUP(B99,'Composição dos serv'!A:I,3,FALSE)</f>
        <v>Remoção e Transporte Mecanizado do entulho a ser reutilizado</v>
      </c>
      <c r="D99" s="50" t="s">
        <v>291</v>
      </c>
      <c r="E99" s="49"/>
      <c r="F99" s="52">
        <f>IF(E99=1,SUM(F66:F96)-H103,0)</f>
        <v>0</v>
      </c>
      <c r="G99" s="51">
        <f>SUMIF('Composição dos serv'!A:A,B99,'Composição dos serv'!I:I)</f>
        <v>0</v>
      </c>
      <c r="H99" s="51">
        <f t="shared" si="24"/>
        <v>0</v>
      </c>
      <c r="I99" s="24"/>
      <c r="J99" s="24"/>
      <c r="K99" s="39">
        <f>SUMIF('Composição dos serv'!A:A,B99,'Composição dos serv'!K:K)</f>
        <v>0.02</v>
      </c>
      <c r="L99" s="40">
        <f t="shared" si="25"/>
        <v>0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6" ht="14.25" hidden="1" customHeight="1">
      <c r="A100" s="26" t="str">
        <f>A97</f>
        <v>D19.8</v>
      </c>
      <c r="B100" s="50" t="s">
        <v>252</v>
      </c>
      <c r="C100" s="49" t="str">
        <f>VLOOKUP(B100,'Composição dos serv'!A:I,3,FALSE)</f>
        <v>Remoção do entulho com caçamba</v>
      </c>
      <c r="D100" s="50" t="s">
        <v>291</v>
      </c>
      <c r="E100" s="49"/>
      <c r="F100" s="52">
        <f>IF(E100=1,SUM(F66:F96),0)</f>
        <v>0</v>
      </c>
      <c r="G100" s="51">
        <f>SUMIF('Composição dos serv'!A:A,B100,'Composição dos serv'!I:I)</f>
        <v>0</v>
      </c>
      <c r="H100" s="51">
        <f>IF(E100&gt;1,"OPÇÃO ERRADA",F100*G100)+IF(G103=1,H103*G100,0)</f>
        <v>0</v>
      </c>
      <c r="I100" s="24"/>
      <c r="J100" s="24"/>
      <c r="K100" s="39">
        <f>SUMIF('Composição dos serv'!A:A,B100,'Composição dos serv'!K:K)</f>
        <v>0.02</v>
      </c>
      <c r="L100" s="40">
        <f t="shared" si="25"/>
        <v>0</v>
      </c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6" ht="14.25" customHeight="1">
      <c r="A101" s="26" t="str">
        <f>A97</f>
        <v>D19.8</v>
      </c>
      <c r="B101" s="50" t="s">
        <v>256</v>
      </c>
      <c r="C101" s="49" t="str">
        <f>VLOOKUP(B101,'Composição dos serv'!A:I,3,FALSE)</f>
        <v>Remoção e Transporte Mecanizado do entulho para bota fora</v>
      </c>
      <c r="D101" s="50" t="s">
        <v>291</v>
      </c>
      <c r="E101" s="49">
        <v>1</v>
      </c>
      <c r="F101" s="52">
        <f>IF(E101=1,SUM(F66:F96),0)</f>
        <v>121.88000000000001</v>
      </c>
      <c r="G101" s="51">
        <f>SUMIF('Composição dos serv'!A:A,B101,'Composição dos serv'!I:I)</f>
        <v>0</v>
      </c>
      <c r="H101" s="51">
        <f>IF(E101&gt;1,"OPÇÃO ERRADA",F101*G101)+IF(G103=2,H103*G101,0)</f>
        <v>0</v>
      </c>
      <c r="I101" s="24"/>
      <c r="J101" s="24"/>
      <c r="K101" s="39">
        <f>SUMIF('Composição dos serv'!A:A,B101,'Composição dos serv'!K:K)</f>
        <v>7.9999999999999988E-2</v>
      </c>
      <c r="L101" s="40">
        <f t="shared" si="25"/>
        <v>10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6" ht="14.25" customHeight="1">
      <c r="A102" s="26" t="str">
        <f>A97</f>
        <v>D19.8</v>
      </c>
      <c r="B102" s="50" t="s">
        <v>264</v>
      </c>
      <c r="C102" s="49" t="str">
        <f>VLOOKUP(B102,'Composição dos serv'!A:I,3,FALSE)</f>
        <v>Remoção de telhas em cimento amianto</v>
      </c>
      <c r="D102" s="26" t="str">
        <f>VLOOKUP(B102,'Composição dos serv'!A:I,4,FALSE)</f>
        <v>m²</v>
      </c>
      <c r="E102" s="49">
        <f>SUM(E74:E75)</f>
        <v>72</v>
      </c>
      <c r="F102" s="52"/>
      <c r="G102" s="51">
        <f>SUMIF('Composição dos serv'!A:A,B102,'Composição dos serv'!I:I)</f>
        <v>0</v>
      </c>
      <c r="H102" s="51">
        <f>G102*E102</f>
        <v>0</v>
      </c>
      <c r="I102" s="24"/>
      <c r="J102" s="24"/>
      <c r="K102" s="39"/>
      <c r="L102" s="40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6" ht="14.25" customHeight="1">
      <c r="A103" s="53"/>
      <c r="B103" s="53"/>
      <c r="C103" s="37" t="str">
        <f>IF(E100&lt;&gt;1,IF(E101&lt;&gt;1,IF(H103&lt;&gt;0,"Há Material não reutilizavel qual a destinação para ele?",""),""),"")</f>
        <v/>
      </c>
      <c r="D103" s="168" t="str">
        <f>IF(E100&lt;&gt;1,IF(E101&lt;&gt;1,IF(H103&lt;&gt;0,"Caçamba = 1; Aterro = 2",""),""),"")</f>
        <v/>
      </c>
      <c r="E103" s="169"/>
      <c r="F103" s="170"/>
      <c r="G103" s="37">
        <v>1</v>
      </c>
      <c r="H103" s="54">
        <f>IF(E100=1,0,IF(E101=1,0,ROUNDUP((IF(E70&lt;&gt;"",F70*0.66,0)+IF(E73&lt;&gt;"",F73*0.57,0)+IF(E75&lt;&gt;"",F75,0)+IF(E76&lt;&gt;"",F76*0.2,0)+IF(E77&lt;&gt;"",F77,0)+IF(E79&lt;&gt;"",F79*0.22,0)+IF(E80&lt;&gt;"",F80,0)+IF(E81&lt;&gt;"",F81,0)+IF(E83&lt;&gt;"",F83*0.02,0)+IF(E85&lt;&gt;"",F85*0.09,0)+IF(E86&lt;&gt;"",F86*0.74,0)+IF(E87&lt;&gt;"",F87*(1-0.24),0)+IF(E90&lt;&gt;"",F90,0)+IF(E91&lt;&gt;"",F91,0)+IF(E92&lt;&gt;"",F92,0)+IF(E93&lt;&gt;"",F93,0)+IF(E94&lt;&gt;"",F94,0)+IF(E95&lt;&gt;"",F95,0)+IF(E96&lt;&gt;"",F96,0)+IF(E74&lt;&gt;"",F74,0)+IF(E72&lt;&gt;"",F72,0)),2)))</f>
        <v>0</v>
      </c>
      <c r="I103" s="24"/>
      <c r="J103" s="24"/>
      <c r="K103" s="39"/>
      <c r="L103" s="40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6" ht="6" customHeight="1">
      <c r="I104" s="24"/>
      <c r="J104" s="24"/>
      <c r="K104" s="39">
        <f>SUMIF('Composição dos serv'!A:A,'PESM Itutinga Piloes pt2'!B104,'Composição dos serv'!K:K)</f>
        <v>0</v>
      </c>
      <c r="L104" s="40">
        <f>ROUNDUP(K104*E104,0)</f>
        <v>0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6" ht="14.25" customHeight="1">
      <c r="A105" s="57" t="str">
        <f>A63</f>
        <v>D19</v>
      </c>
      <c r="B105" s="195" t="str">
        <f>C63</f>
        <v>EDIFICAÇÃO 17 - Gleba D19</v>
      </c>
      <c r="C105" s="169"/>
      <c r="D105" s="196" t="s">
        <v>280</v>
      </c>
      <c r="E105" s="169"/>
      <c r="F105" s="169"/>
      <c r="G105" s="60">
        <f>SUM(H66:H102)</f>
        <v>0</v>
      </c>
      <c r="H105" s="61"/>
      <c r="I105" s="24"/>
      <c r="J105" s="24"/>
      <c r="K105" s="39">
        <f>IF(SUM(L98:L101)&gt;SUM(L66:L96),SUM(L98:L101),SUM(L66:L96))</f>
        <v>36</v>
      </c>
      <c r="L105" s="40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6" ht="9.75" customHeight="1">
      <c r="A106" s="30"/>
      <c r="B106" s="44"/>
      <c r="C106" s="24"/>
      <c r="D106" s="44"/>
      <c r="E106" s="24"/>
      <c r="F106" s="24"/>
      <c r="G106" s="45"/>
      <c r="H106" s="45"/>
      <c r="I106" s="24"/>
      <c r="J106" s="24"/>
      <c r="K106" s="39">
        <f>SUMIF('Composição dos serv'!A:A,'PESM Itutinga Piloes pt2'!B106,'Composição dos serv'!K:K)</f>
        <v>0</v>
      </c>
      <c r="L106" s="40">
        <f t="shared" ref="L106:L108" si="26">ROUNDUP(K106*E106,0)</f>
        <v>0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9.5" customHeight="1">
      <c r="A107" s="62" t="s">
        <v>333</v>
      </c>
      <c r="B107" s="62">
        <v>2</v>
      </c>
      <c r="C107" s="63" t="s">
        <v>334</v>
      </c>
      <c r="D107" s="63"/>
      <c r="E107" s="63"/>
      <c r="F107" s="63"/>
      <c r="G107" s="63"/>
      <c r="H107" s="63"/>
      <c r="I107" s="24"/>
      <c r="J107" s="24"/>
      <c r="K107" s="39">
        <f>SUMIF('Composição dos serv'!A:A,'PESM Itutinga Piloes pt2'!B107,'Composição dos serv'!K:K)</f>
        <v>0</v>
      </c>
      <c r="L107" s="40">
        <f t="shared" si="26"/>
        <v>0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6" ht="6" hidden="1" customHeight="1">
      <c r="A108" s="59"/>
      <c r="B108" s="30"/>
      <c r="C108" s="30"/>
      <c r="D108" s="30"/>
      <c r="E108" s="30"/>
      <c r="F108" s="30"/>
      <c r="G108" s="30"/>
      <c r="H108" s="30"/>
      <c r="I108" s="24"/>
      <c r="J108" s="24"/>
      <c r="K108" s="39">
        <f>SUMIF('Composição dos serv'!A:A,'PESM Itutinga Piloes pt2'!B108,'Composição dos serv'!K:K)</f>
        <v>0</v>
      </c>
      <c r="L108" s="40">
        <f t="shared" si="26"/>
        <v>0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4.25" customHeight="1">
      <c r="A109" s="33" t="str">
        <f>CONCATENATE(A107,".1")</f>
        <v>D21.1</v>
      </c>
      <c r="B109" s="33" t="s">
        <v>67</v>
      </c>
      <c r="C109" s="48" t="str">
        <f>VLOOKUP(B109,'Composição dos serv'!A:I,3,FALSE)</f>
        <v>DEMOLIÇÃO DE CALÇADAS E/OU CAMINHOS</v>
      </c>
      <c r="D109" s="48"/>
      <c r="E109" s="48"/>
      <c r="F109" s="48"/>
      <c r="G109" s="48"/>
      <c r="H109" s="48"/>
      <c r="I109" s="24"/>
      <c r="J109" s="24"/>
      <c r="K109" s="31"/>
      <c r="L109" s="32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6" ht="14.25" hidden="1" customHeight="1">
      <c r="A110" s="26" t="str">
        <f>A109</f>
        <v>D21.1</v>
      </c>
      <c r="B110" s="26" t="s">
        <v>69</v>
      </c>
      <c r="C110" s="49" t="str">
        <f>VLOOKUP(B110,'Composição dos serv'!A:I,3,FALSE)</f>
        <v>Demolição de calçada ou caminhos</v>
      </c>
      <c r="D110" s="50" t="str">
        <f>VLOOKUP(B110,'Composição dos serv'!A:I,4,FALSE)</f>
        <v>m²</v>
      </c>
      <c r="E110" s="49"/>
      <c r="F110" s="49">
        <f>ROUNDUP(E110*0.15,2)</f>
        <v>0</v>
      </c>
      <c r="G110" s="51">
        <f>SUMIF('Composição dos serv'!A:A,'PESM Itutinga Piloes pt2'!B110,'Composição dos serv'!I:I)</f>
        <v>0</v>
      </c>
      <c r="H110" s="51">
        <f t="shared" ref="H110:H111" si="27">E110*G110</f>
        <v>0</v>
      </c>
      <c r="I110" s="24"/>
      <c r="J110" s="24"/>
      <c r="K110" s="39">
        <f>SUMIF('Composição dos serv'!A:A,B110,'Composição dos serv'!K:K)</f>
        <v>0.12</v>
      </c>
      <c r="L110" s="40">
        <f t="shared" ref="L110:L140" si="28">ROUNDUP(K110*E110,0)</f>
        <v>0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6" ht="14.25" hidden="1" customHeight="1">
      <c r="A111" s="26" t="str">
        <f>A109</f>
        <v>D21.1</v>
      </c>
      <c r="B111" s="26" t="s">
        <v>75</v>
      </c>
      <c r="C111" s="37" t="str">
        <f>VLOOKUP(B111,'Composição dos serv'!A:I,3,FALSE)</f>
        <v>Demolição de via Asfaltada, em paralelepípedo ou intertravados</v>
      </c>
      <c r="D111" s="26" t="str">
        <f>VLOOKUP(B111,'Composição dos serv'!A:I,4,FALSE)</f>
        <v>m²</v>
      </c>
      <c r="E111" s="37"/>
      <c r="F111" s="37">
        <f>ROUNDUP(E111*0.2,2)</f>
        <v>0</v>
      </c>
      <c r="G111" s="38">
        <f>SUMIF('Composição dos serv'!A:A,'PESM Itutinga Piloes pt2'!B111,'Composição dos serv'!I:I)</f>
        <v>0</v>
      </c>
      <c r="H111" s="38">
        <f t="shared" si="27"/>
        <v>0</v>
      </c>
      <c r="I111" s="24"/>
      <c r="J111" s="24"/>
      <c r="K111" s="39">
        <f>SUMIF('Composição dos serv'!A:A,B111,'Composição dos serv'!K:K)</f>
        <v>0.06</v>
      </c>
      <c r="L111" s="40">
        <f t="shared" si="28"/>
        <v>0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6" ht="14.25" customHeight="1">
      <c r="A112" s="33" t="str">
        <f>CONCATENATE(A107,".2")</f>
        <v>D21.2</v>
      </c>
      <c r="B112" s="33" t="s">
        <v>85</v>
      </c>
      <c r="C112" s="34" t="str">
        <f>VLOOKUP(B112,'Composição dos serv'!A:I,3,FALSE)</f>
        <v>DEMOLIÇÃO DE MUROS E CERCAS</v>
      </c>
      <c r="D112" s="35"/>
      <c r="E112" s="35"/>
      <c r="F112" s="35"/>
      <c r="G112" s="35"/>
      <c r="H112" s="36"/>
      <c r="I112" s="24"/>
      <c r="J112" s="24"/>
      <c r="K112" s="39">
        <f>SUMIF('Composição dos serv'!A:A,B112,'Composição dos serv'!K:K)</f>
        <v>0</v>
      </c>
      <c r="L112" s="40">
        <f t="shared" si="28"/>
        <v>0</v>
      </c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4.25" hidden="1" customHeight="1">
      <c r="A113" s="26" t="str">
        <f>A112</f>
        <v>D21.2</v>
      </c>
      <c r="B113" s="26" t="s">
        <v>87</v>
      </c>
      <c r="C113" s="37" t="str">
        <f>VLOOKUP(B113,'Composição dos serv'!A:I,3,FALSE)</f>
        <v>Demolição de muro em alvenaria ou alambrados</v>
      </c>
      <c r="D113" s="26" t="str">
        <f>VLOOKUP(B113,'Composição dos serv'!A:I,4,FALSE)</f>
        <v>m</v>
      </c>
      <c r="E113" s="37"/>
      <c r="F113" s="37">
        <f>ROUNDUP(E113*0.2*2.4,2)</f>
        <v>0</v>
      </c>
      <c r="G113" s="38">
        <f>SUMIF('Composição dos serv'!A:A,'PESM Itutinga Piloes pt2'!B113,'Composição dos serv'!I:I)</f>
        <v>0</v>
      </c>
      <c r="H113" s="38">
        <f t="shared" ref="H113:H114" si="29">E113*G113</f>
        <v>0</v>
      </c>
      <c r="I113" s="24"/>
      <c r="J113" s="24"/>
      <c r="K113" s="39">
        <f>SUMIF('Composição dos serv'!A:A,B113,'Composição dos serv'!K:K)</f>
        <v>0.26</v>
      </c>
      <c r="L113" s="40">
        <f t="shared" si="28"/>
        <v>0</v>
      </c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4.25" customHeight="1">
      <c r="A114" s="26" t="str">
        <f>A112</f>
        <v>D21.2</v>
      </c>
      <c r="B114" s="26" t="s">
        <v>93</v>
      </c>
      <c r="C114" s="37" t="str">
        <f>VLOOKUP(B114,'Composição dos serv'!A:I,3,FALSE)</f>
        <v>Demolição de Cercas</v>
      </c>
      <c r="D114" s="26" t="str">
        <f>VLOOKUP(B114,'Composição dos serv'!A:I,4,FALSE)</f>
        <v>m</v>
      </c>
      <c r="E114" s="37">
        <v>400</v>
      </c>
      <c r="F114" s="37">
        <f>ROUNDUP(E114*0.1*1.8,2)</f>
        <v>72</v>
      </c>
      <c r="G114" s="38">
        <f>SUMIF('Composição dos serv'!A:A,'PESM Itutinga Piloes pt2'!B114,'Composição dos serv'!I:I)</f>
        <v>0</v>
      </c>
      <c r="H114" s="38">
        <f t="shared" si="29"/>
        <v>0</v>
      </c>
      <c r="I114" s="24"/>
      <c r="J114" s="24"/>
      <c r="K114" s="39">
        <f>SUMIF('Composição dos serv'!A:A,B114,'Composição dos serv'!K:K)</f>
        <v>0.06</v>
      </c>
      <c r="L114" s="40">
        <f t="shared" si="28"/>
        <v>24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4.25" customHeight="1">
      <c r="A115" s="33" t="str">
        <f>CONCATENATE(A107,".3")</f>
        <v>D21.3</v>
      </c>
      <c r="B115" s="33" t="s">
        <v>99</v>
      </c>
      <c r="C115" s="48" t="str">
        <f>VLOOKUP(B115,'Composição dos serv'!A:I,3,FALSE)</f>
        <v>COBERTURA</v>
      </c>
      <c r="D115" s="48"/>
      <c r="E115" s="48"/>
      <c r="F115" s="48"/>
      <c r="G115" s="48"/>
      <c r="H115" s="48"/>
      <c r="I115" s="24"/>
      <c r="J115" s="24"/>
      <c r="K115" s="39">
        <f>SUMIF('Composição dos serv'!A:A,B115,'Composição dos serv'!K:K)</f>
        <v>0</v>
      </c>
      <c r="L115" s="40">
        <f t="shared" si="28"/>
        <v>0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4.25" hidden="1" customHeight="1">
      <c r="A116" s="26" t="str">
        <f t="shared" ref="A116:A121" si="30">A115</f>
        <v>D21.3</v>
      </c>
      <c r="B116" s="26" t="s">
        <v>101</v>
      </c>
      <c r="C116" s="37" t="str">
        <f>VLOOKUP(B116,'Composição dos serv'!A:I,3,FALSE)</f>
        <v>Retirada de Estrutura de madeira sem telhas</v>
      </c>
      <c r="D116" s="26" t="str">
        <f>VLOOKUP(B116,'Composição dos serv'!A:I,4,FALSE)</f>
        <v>m²</v>
      </c>
      <c r="E116" s="37"/>
      <c r="F116" s="37">
        <f>ROUNDUP(E116*0.2,2)</f>
        <v>0</v>
      </c>
      <c r="G116" s="38">
        <f>SUMIF('Composição dos serv'!A:A,'PESM Itutinga Piloes pt2'!B116,'Composição dos serv'!I:I)</f>
        <v>0</v>
      </c>
      <c r="H116" s="38">
        <f t="shared" ref="H116:H121" si="31">E116*G116</f>
        <v>0</v>
      </c>
      <c r="I116" s="24"/>
      <c r="J116" s="24"/>
      <c r="K116" s="39">
        <f>SUMIF('Composição dos serv'!A:A,B116,'Composição dos serv'!K:K)</f>
        <v>0.03</v>
      </c>
      <c r="L116" s="40">
        <f t="shared" si="28"/>
        <v>0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4.25" hidden="1" customHeight="1">
      <c r="A117" s="26" t="str">
        <f t="shared" si="30"/>
        <v>D21.3</v>
      </c>
      <c r="B117" s="26" t="s">
        <v>105</v>
      </c>
      <c r="C117" s="37" t="str">
        <f>VLOOKUP(B117,'Composição dos serv'!A:I,3,FALSE)</f>
        <v>Retirada de Telhas de Barro com Estrutura em madeira (tesouras, treliças,...)</v>
      </c>
      <c r="D117" s="26" t="str">
        <f>VLOOKUP(B117,'Composição dos serv'!A:I,4,FALSE)</f>
        <v>m²</v>
      </c>
      <c r="E117" s="37"/>
      <c r="F117" s="37">
        <f>ROUNDUP(E117*0.08+E117*0.2,2)</f>
        <v>0</v>
      </c>
      <c r="G117" s="38">
        <f>SUMIF('Composição dos serv'!A:A,'PESM Itutinga Piloes pt2'!B117,'Composição dos serv'!I:I)</f>
        <v>0</v>
      </c>
      <c r="H117" s="38">
        <f t="shared" si="31"/>
        <v>0</v>
      </c>
      <c r="I117" s="24"/>
      <c r="J117" s="24"/>
      <c r="K117" s="39">
        <f>SUMIF('Composição dos serv'!A:A,B117,'Composição dos serv'!K:K)</f>
        <v>0.06</v>
      </c>
      <c r="L117" s="40">
        <f t="shared" si="28"/>
        <v>0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4.25" hidden="1" customHeight="1">
      <c r="A118" s="26" t="str">
        <f t="shared" si="30"/>
        <v>D21.3</v>
      </c>
      <c r="B118" s="26" t="s">
        <v>111</v>
      </c>
      <c r="C118" s="37" t="str">
        <f>VLOOKUP(B118,'Composição dos serv'!A:I,3,FALSE)</f>
        <v>Retirada de Telhas de amianto Sem Estrutura</v>
      </c>
      <c r="D118" s="26" t="str">
        <f>VLOOKUP(B118,'Composição dos serv'!A:I,4,FALSE)</f>
        <v>m²</v>
      </c>
      <c r="E118" s="37"/>
      <c r="F118" s="37"/>
      <c r="G118" s="38">
        <f>SUMIF('Composição dos serv'!A:A,'PESM Itutinga Piloes pt2'!B118,'Composição dos serv'!I:I)</f>
        <v>0</v>
      </c>
      <c r="H118" s="38">
        <f t="shared" si="31"/>
        <v>0</v>
      </c>
      <c r="I118" s="24"/>
      <c r="J118" s="24"/>
      <c r="K118" s="39">
        <f>SUMIF('Composição dos serv'!A:A,B118,'Composição dos serv'!K:K)</f>
        <v>0.02</v>
      </c>
      <c r="L118" s="40">
        <f t="shared" si="28"/>
        <v>0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4.25" customHeight="1">
      <c r="A119" s="26" t="str">
        <f t="shared" si="30"/>
        <v>D21.3</v>
      </c>
      <c r="B119" s="26" t="s">
        <v>117</v>
      </c>
      <c r="C119" s="37" t="str">
        <f>VLOOKUP(B119,'Composição dos serv'!A:I,3,FALSE)</f>
        <v>Retirada de Telhas de amianto com Estrutura em madeira (tesouras, treliças,...)</v>
      </c>
      <c r="D119" s="26" t="str">
        <f>VLOOKUP(B119,'Composição dos serv'!A:I,4,FALSE)</f>
        <v>m²</v>
      </c>
      <c r="E119" s="37">
        <v>276</v>
      </c>
      <c r="F119" s="37">
        <f>ROUNDUP(E119*0.1,2)</f>
        <v>27.6</v>
      </c>
      <c r="G119" s="38">
        <f>SUMIF('Composição dos serv'!A:A,'PESM Itutinga Piloes pt2'!B119,'Composição dos serv'!I:I)</f>
        <v>0</v>
      </c>
      <c r="H119" s="38">
        <f t="shared" si="31"/>
        <v>0</v>
      </c>
      <c r="I119" s="24"/>
      <c r="J119" s="24"/>
      <c r="K119" s="39">
        <f>SUMIF('Composição dos serv'!A:A,B119,'Composição dos serv'!K:K)</f>
        <v>0.04</v>
      </c>
      <c r="L119" s="40">
        <f t="shared" si="28"/>
        <v>12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4.25" customHeight="1">
      <c r="A120" s="26" t="str">
        <f t="shared" si="30"/>
        <v>D21.3</v>
      </c>
      <c r="B120" s="26" t="s">
        <v>121</v>
      </c>
      <c r="C120" s="37" t="str">
        <f>VLOOKUP(B120,'Composição dos serv'!A:I,3,FALSE)</f>
        <v>Retirada de Laje em concreto</v>
      </c>
      <c r="D120" s="26" t="str">
        <f>VLOOKUP(B120,'Composição dos serv'!A:I,4,FALSE)</f>
        <v>m²</v>
      </c>
      <c r="E120" s="37">
        <v>20</v>
      </c>
      <c r="F120" s="37">
        <f>ROUNDUP(E120*0.12,2)</f>
        <v>2.4</v>
      </c>
      <c r="G120" s="38">
        <f>SUMIF('Composição dos serv'!A:A,'PESM Itutinga Piloes pt2'!B120,'Composição dos serv'!I:I)</f>
        <v>0</v>
      </c>
      <c r="H120" s="38">
        <f t="shared" si="31"/>
        <v>0</v>
      </c>
      <c r="I120" s="24"/>
      <c r="J120" s="24"/>
      <c r="K120" s="39">
        <f>SUMIF('Composição dos serv'!A:A,B120,'Composição dos serv'!K:K)</f>
        <v>0.09</v>
      </c>
      <c r="L120" s="40">
        <f t="shared" si="28"/>
        <v>2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4.25" customHeight="1">
      <c r="A121" s="26" t="str">
        <f t="shared" si="30"/>
        <v>D21.3</v>
      </c>
      <c r="B121" s="26" t="s">
        <v>129</v>
      </c>
      <c r="C121" s="37" t="str">
        <f>VLOOKUP(B121,'Composição dos serv'!A:I,3,FALSE)</f>
        <v>Retirada de Forros qualquer com sistema de fixação</v>
      </c>
      <c r="D121" s="26" t="str">
        <f>VLOOKUP(B121,'Composição dos serv'!A:I,4,FALSE)</f>
        <v>m²</v>
      </c>
      <c r="E121" s="37">
        <v>165</v>
      </c>
      <c r="F121" s="37">
        <f>ROUNDUP(E121*0.1,2)</f>
        <v>16.5</v>
      </c>
      <c r="G121" s="38">
        <f>SUMIF('Composição dos serv'!A:A,'PESM Itutinga Piloes pt2'!B121,'Composição dos serv'!I:I)</f>
        <v>0</v>
      </c>
      <c r="H121" s="38">
        <f t="shared" si="31"/>
        <v>0</v>
      </c>
      <c r="I121" s="24"/>
      <c r="J121" s="24"/>
      <c r="K121" s="39">
        <f>SUMIF('Composição dos serv'!A:A,B121,'Composição dos serv'!K:K)</f>
        <v>0.04</v>
      </c>
      <c r="L121" s="40">
        <f t="shared" si="28"/>
        <v>7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4.25" customHeight="1">
      <c r="A122" s="33" t="str">
        <f>CONCATENATE(A107,".4")</f>
        <v>D21.4</v>
      </c>
      <c r="B122" s="33" t="s">
        <v>133</v>
      </c>
      <c r="C122" s="34" t="str">
        <f>VLOOKUP(B122,'Composição dos serv'!A:I,3,FALSE)</f>
        <v>PAREDES</v>
      </c>
      <c r="D122" s="35"/>
      <c r="E122" s="35"/>
      <c r="F122" s="35"/>
      <c r="G122" s="35"/>
      <c r="H122" s="36"/>
      <c r="I122" s="24"/>
      <c r="J122" s="24"/>
      <c r="K122" s="39">
        <f>SUMIF('Composição dos serv'!A:A,B122,'Composição dos serv'!K:K)</f>
        <v>0</v>
      </c>
      <c r="L122" s="40">
        <f t="shared" si="28"/>
        <v>0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4.25" customHeight="1">
      <c r="A123" s="26" t="str">
        <f>A122</f>
        <v>D21.4</v>
      </c>
      <c r="B123" s="26" t="s">
        <v>135</v>
      </c>
      <c r="C123" s="37" t="str">
        <f>VLOOKUP(B123,'Composição dos serv'!A:I,3,FALSE)</f>
        <v>Parede em Alvenaria - usar área construida</v>
      </c>
      <c r="D123" s="26" t="str">
        <f>VLOOKUP(B123,'Composição dos serv'!A:I,4,FALSE)</f>
        <v>m²</v>
      </c>
      <c r="E123" s="49">
        <v>276</v>
      </c>
      <c r="F123" s="37">
        <f>ROUNDUP(E123*0.8,2)</f>
        <v>220.8</v>
      </c>
      <c r="G123" s="38">
        <f>SUMIF('Composição dos serv'!A:A,B123,'Composição dos serv'!I:I)</f>
        <v>0</v>
      </c>
      <c r="H123" s="38">
        <f t="shared" ref="H123:H125" si="32">E123*G123</f>
        <v>0</v>
      </c>
      <c r="I123" s="24"/>
      <c r="J123" s="24"/>
      <c r="K123" s="39">
        <f>SUMIF('Composição dos serv'!A:A,B123,'Composição dos serv'!K:K)</f>
        <v>0.15000000000000002</v>
      </c>
      <c r="L123" s="40">
        <f t="shared" si="28"/>
        <v>42</v>
      </c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4.25" hidden="1" customHeight="1">
      <c r="A124" s="26" t="str">
        <f>A122</f>
        <v>D21.4</v>
      </c>
      <c r="B124" s="26" t="s">
        <v>143</v>
      </c>
      <c r="C124" s="37" t="str">
        <f>VLOOKUP(B124,'Composição dos serv'!A:I,3,FALSE)</f>
        <v>Parede em Madeirite - Chapas de madeira compensada ou aglomerada - área construída</v>
      </c>
      <c r="D124" s="26" t="str">
        <f>VLOOKUP(B124,'Composição dos serv'!A:I,4,FALSE)</f>
        <v>m²</v>
      </c>
      <c r="E124" s="37"/>
      <c r="F124" s="37">
        <f>ROUNDUP(E124*0.21,2)</f>
        <v>0</v>
      </c>
      <c r="G124" s="38">
        <f>SUMIF('Composição dos serv'!A:A,B124,'Composição dos serv'!I:I)</f>
        <v>0</v>
      </c>
      <c r="H124" s="38">
        <f t="shared" si="32"/>
        <v>0</v>
      </c>
      <c r="I124" s="24"/>
      <c r="J124" s="24"/>
      <c r="K124" s="39">
        <f>SUMIF('Composição dos serv'!A:A,B124,'Composição dos serv'!K:K)</f>
        <v>0.15000000000000002</v>
      </c>
      <c r="L124" s="40">
        <f t="shared" si="28"/>
        <v>0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4.25" hidden="1" customHeight="1">
      <c r="A125" s="26" t="str">
        <f>A122</f>
        <v>D21.4</v>
      </c>
      <c r="B125" s="26" t="s">
        <v>145</v>
      </c>
      <c r="C125" s="37" t="str">
        <f>VLOOKUP(B125,'Composição dos serv'!A:I,3,FALSE)</f>
        <v>Parede em Lambril de madeira - área construída</v>
      </c>
      <c r="D125" s="26" t="str">
        <f>VLOOKUP(B125,'Composição dos serv'!A:I,4,FALSE)</f>
        <v>m²</v>
      </c>
      <c r="E125" s="37"/>
      <c r="F125" s="37">
        <f>ROUNDUP(E125*4*0.12,2)</f>
        <v>0</v>
      </c>
      <c r="G125" s="38">
        <f>SUMIF('Composição dos serv'!A:A,B125,'Composição dos serv'!I:I)</f>
        <v>0</v>
      </c>
      <c r="H125" s="38">
        <f t="shared" si="32"/>
        <v>0</v>
      </c>
      <c r="I125" s="24"/>
      <c r="J125" s="24"/>
      <c r="K125" s="39">
        <f>SUMIF('Composição dos serv'!A:A,B125,'Composição dos serv'!K:K)</f>
        <v>0.35000000000000009</v>
      </c>
      <c r="L125" s="40">
        <f t="shared" si="28"/>
        <v>0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4.25" customHeight="1">
      <c r="A126" s="33" t="str">
        <f>CONCATENATE(A107,".5")</f>
        <v>D21.5</v>
      </c>
      <c r="B126" s="33" t="s">
        <v>153</v>
      </c>
      <c r="C126" s="34" t="str">
        <f>VLOOKUP(B126,'Composição dos serv'!A:I,3,FALSE)</f>
        <v>PISO E FUNDAÇÃO</v>
      </c>
      <c r="D126" s="35"/>
      <c r="E126" s="35"/>
      <c r="F126" s="35"/>
      <c r="G126" s="35"/>
      <c r="H126" s="36"/>
      <c r="I126" s="24"/>
      <c r="J126" s="24"/>
      <c r="K126" s="39">
        <f>SUMIF('Composição dos serv'!A:A,B126,'Composição dos serv'!K:K)</f>
        <v>0</v>
      </c>
      <c r="L126" s="40">
        <f t="shared" si="28"/>
        <v>0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4.25" hidden="1" customHeight="1">
      <c r="A127" s="26" t="str">
        <f>A126</f>
        <v>D21.5</v>
      </c>
      <c r="B127" s="26" t="s">
        <v>155</v>
      </c>
      <c r="C127" s="37" t="str">
        <f>VLOOKUP(B127,'Composição dos serv'!A:I,3,FALSE)</f>
        <v>Piso da edificação com fundação</v>
      </c>
      <c r="D127" s="26" t="str">
        <f>VLOOKUP(B127,'Composição dos serv'!A:I,4,FALSE)</f>
        <v>m²</v>
      </c>
      <c r="E127" s="37"/>
      <c r="F127" s="37">
        <f>ROUNDUP(E127*0.24,2)</f>
        <v>0</v>
      </c>
      <c r="G127" s="38">
        <f>SUMIF('Composição dos serv'!A:A,B127,'Composição dos serv'!I:I)</f>
        <v>0</v>
      </c>
      <c r="H127" s="38">
        <f>E127*G127</f>
        <v>0</v>
      </c>
      <c r="I127" s="24"/>
      <c r="J127" s="24"/>
      <c r="K127" s="39">
        <f>SUMIF('Composição dos serv'!A:A,B127,'Composição dos serv'!K:K)</f>
        <v>0.17</v>
      </c>
      <c r="L127" s="40">
        <f t="shared" si="28"/>
        <v>0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4.25" customHeight="1">
      <c r="A128" s="33" t="str">
        <f>CONCATENATE(A107,".6")</f>
        <v>D21.6</v>
      </c>
      <c r="B128" s="33" t="s">
        <v>161</v>
      </c>
      <c r="C128" s="48" t="str">
        <f>VLOOKUP(B128,'Composição dos serv'!A:I,3,FALSE)</f>
        <v>ESTRUTURAS DIVERSAS</v>
      </c>
      <c r="D128" s="48"/>
      <c r="E128" s="48"/>
      <c r="F128" s="48"/>
      <c r="G128" s="48"/>
      <c r="H128" s="48"/>
      <c r="I128" s="24"/>
      <c r="J128" s="24"/>
      <c r="K128" s="39">
        <f>SUMIF('Composição dos serv'!A:A,B128,'Composição dos serv'!K:K)</f>
        <v>0</v>
      </c>
      <c r="L128" s="40">
        <f t="shared" si="28"/>
        <v>0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4.25" hidden="1" customHeight="1">
      <c r="A129" s="26" t="str">
        <f>A128</f>
        <v>D21.6</v>
      </c>
      <c r="B129" s="26" t="s">
        <v>163</v>
      </c>
      <c r="C129" s="37" t="str">
        <f>VLOOKUP(B129,'Composição dos serv'!A:I,3,FALSE)</f>
        <v>Escada em concreto com corrimão</v>
      </c>
      <c r="D129" s="26" t="str">
        <f>VLOOKUP(B129,'Composição dos serv'!A:I,4,FALSE)</f>
        <v>m</v>
      </c>
      <c r="E129" s="49"/>
      <c r="F129" s="37">
        <f>ROUNDUP(E129*1.2*0.25,2)</f>
        <v>0</v>
      </c>
      <c r="G129" s="38">
        <f>SUMIF('Composição dos serv'!A:A,'PESM Itutinga Piloes pt2'!B129,'Composição dos serv'!I:I)</f>
        <v>0</v>
      </c>
      <c r="H129" s="38">
        <f t="shared" ref="H129:H132" si="33">E129*G129</f>
        <v>0</v>
      </c>
      <c r="I129" s="24"/>
      <c r="J129" s="24"/>
      <c r="K129" s="39">
        <f>SUMIF('Composição dos serv'!A:A,B129,'Composição dos serv'!K:K)</f>
        <v>0.39</v>
      </c>
      <c r="L129" s="40">
        <f t="shared" si="28"/>
        <v>0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4.25" customHeight="1">
      <c r="A130" s="26" t="str">
        <f>A128</f>
        <v>D21.6</v>
      </c>
      <c r="B130" s="26" t="s">
        <v>169</v>
      </c>
      <c r="C130" s="37" t="str">
        <f>VLOOKUP(B130,'Composição dos serv'!A:I,3,FALSE)</f>
        <v>Entrada de Energia - medidor</v>
      </c>
      <c r="D130" s="26" t="str">
        <f>VLOOKUP(B130,'Composição dos serv'!A:I,4,FALSE)</f>
        <v>un</v>
      </c>
      <c r="E130" s="37">
        <v>1</v>
      </c>
      <c r="F130" s="37">
        <f>ROUNDUP(E130*(3.2+(((3.1415*0.4^2)/4)*6)),2)</f>
        <v>3.96</v>
      </c>
      <c r="G130" s="38">
        <f>SUMIF('Composição dos serv'!A:A,'PESM Itutinga Piloes pt2'!B130,'Composição dos serv'!I:I)</f>
        <v>0</v>
      </c>
      <c r="H130" s="38">
        <f t="shared" si="33"/>
        <v>0</v>
      </c>
      <c r="I130" s="24"/>
      <c r="J130" s="24"/>
      <c r="K130" s="39">
        <f>SUMIF('Composição dos serv'!A:A,B130,'Composição dos serv'!K:K)</f>
        <v>1.7600000000000002</v>
      </c>
      <c r="L130" s="40">
        <f t="shared" si="28"/>
        <v>2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4.25" customHeight="1">
      <c r="A131" s="26" t="str">
        <f>A128</f>
        <v>D21.6</v>
      </c>
      <c r="B131" s="26" t="s">
        <v>183</v>
      </c>
      <c r="C131" s="37" t="str">
        <f>VLOOKUP(B131,'Composição dos serv'!A:I,3,FALSE)</f>
        <v>Hidrômetro com abrigo</v>
      </c>
      <c r="D131" s="26" t="str">
        <f>VLOOKUP(B131,'Composição dos serv'!A:I,4,FALSE)</f>
        <v>un</v>
      </c>
      <c r="E131" s="37">
        <v>1</v>
      </c>
      <c r="F131" s="37">
        <f>ROUNDUP(E131*(1.7+0.1),2)</f>
        <v>1.8</v>
      </c>
      <c r="G131" s="38">
        <f>SUMIF('Composição dos serv'!A:A,'PESM Itutinga Piloes pt2'!B131,'Composição dos serv'!I:I)</f>
        <v>0</v>
      </c>
      <c r="H131" s="38">
        <f t="shared" si="33"/>
        <v>0</v>
      </c>
      <c r="I131" s="24"/>
      <c r="J131" s="24"/>
      <c r="K131" s="39">
        <f>SUMIF('Composição dos serv'!A:A,B131,'Composição dos serv'!K:K)</f>
        <v>0.44000000000000006</v>
      </c>
      <c r="L131" s="40">
        <f t="shared" si="28"/>
        <v>1</v>
      </c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4.25" customHeight="1">
      <c r="A132" s="26" t="str">
        <f>A130</f>
        <v>D21.6</v>
      </c>
      <c r="B132" s="26" t="s">
        <v>191</v>
      </c>
      <c r="C132" s="37" t="str">
        <f>VLOOKUP(B132,'Composição dos serv'!A:I,3,FALSE)</f>
        <v>Aterro de Fossa com retirada de tampa</v>
      </c>
      <c r="D132" s="26" t="str">
        <f>VLOOKUP(B132,'Composição dos serv'!A:I,4,FALSE)</f>
        <v>un</v>
      </c>
      <c r="E132" s="37">
        <v>1</v>
      </c>
      <c r="F132" s="37">
        <f>ROUNDUP(E132*(0.4),2)</f>
        <v>0.4</v>
      </c>
      <c r="G132" s="38">
        <f>SUMIF('Composição dos serv'!A:A,'PESM Itutinga Piloes pt2'!B132,'Composição dos serv'!I:I)</f>
        <v>0</v>
      </c>
      <c r="H132" s="38">
        <f t="shared" si="33"/>
        <v>0</v>
      </c>
      <c r="I132" s="24"/>
      <c r="J132" s="24"/>
      <c r="K132" s="39">
        <f>SUMIF('Composição dos serv'!A:A,B132,'Composição dos serv'!K:K)</f>
        <v>0.85000000000000009</v>
      </c>
      <c r="L132" s="40">
        <f t="shared" si="28"/>
        <v>1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4.25" customHeight="1">
      <c r="A133" s="33" t="str">
        <f>CONCATENATE(A107,".7")</f>
        <v>D21.7</v>
      </c>
      <c r="B133" s="33" t="s">
        <v>195</v>
      </c>
      <c r="C133" s="48" t="str">
        <f>VLOOKUP(B133,'Composição dos serv'!A:I,3,FALSE)</f>
        <v>ACABAMENTOS DIVERSOS e OUTROS</v>
      </c>
      <c r="D133" s="48"/>
      <c r="E133" s="48"/>
      <c r="F133" s="48"/>
      <c r="G133" s="48"/>
      <c r="H133" s="48"/>
      <c r="I133" s="24"/>
      <c r="J133" s="24"/>
      <c r="K133" s="39">
        <f>SUMIF('Composição dos serv'!A:A,B133,'Composição dos serv'!K:K)</f>
        <v>0</v>
      </c>
      <c r="L133" s="40">
        <f t="shared" si="28"/>
        <v>0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4.25" customHeight="1">
      <c r="A134" s="26" t="str">
        <f>A133</f>
        <v>D21.7</v>
      </c>
      <c r="B134" s="50" t="s">
        <v>197</v>
      </c>
      <c r="C134" s="49" t="str">
        <f>VLOOKUP(B134,'Composição dos serv'!A:I,3,FALSE)</f>
        <v>Remoção de aparelhos sanitarios - por banheiro</v>
      </c>
      <c r="D134" s="50" t="str">
        <f>VLOOKUP(B134,'Composição dos serv'!A:I,4,FALSE)</f>
        <v>unid</v>
      </c>
      <c r="E134" s="49">
        <v>2</v>
      </c>
      <c r="F134" s="37">
        <f t="shared" ref="F134:F136" si="34">ROUNDUP(E134*1,2)</f>
        <v>2</v>
      </c>
      <c r="G134" s="51">
        <f>SUMIF('Composição dos serv'!A:A,B134,'Composição dos serv'!I:I)</f>
        <v>0</v>
      </c>
      <c r="H134" s="51">
        <f t="shared" ref="H134:H140" si="35">E134*G134</f>
        <v>0</v>
      </c>
      <c r="I134" s="24"/>
      <c r="J134" s="24"/>
      <c r="K134" s="39">
        <f>SUMIF('Composição dos serv'!A:A,B134,'Composição dos serv'!K:K)</f>
        <v>0.19</v>
      </c>
      <c r="L134" s="40">
        <f t="shared" si="28"/>
        <v>1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4.25" customHeight="1">
      <c r="A135" s="26" t="str">
        <f>A133</f>
        <v>D21.7</v>
      </c>
      <c r="B135" s="50" t="s">
        <v>209</v>
      </c>
      <c r="C135" s="37" t="str">
        <f>VLOOKUP(B135,'Composição dos serv'!A:I,3,FALSE)</f>
        <v>Remoção de aparelhos sanitarios - Cozinha e Área de Serviço</v>
      </c>
      <c r="D135" s="26" t="str">
        <f>VLOOKUP(B135,'Composição dos serv'!A:I,4,FALSE)</f>
        <v>unid</v>
      </c>
      <c r="E135" s="37">
        <v>2</v>
      </c>
      <c r="F135" s="37">
        <f t="shared" si="34"/>
        <v>2</v>
      </c>
      <c r="G135" s="51">
        <f>SUMIF('Composição dos serv'!A:A,B135,'Composição dos serv'!I:I)</f>
        <v>0</v>
      </c>
      <c r="H135" s="38">
        <f t="shared" si="35"/>
        <v>0</v>
      </c>
      <c r="I135" s="24"/>
      <c r="J135" s="24"/>
      <c r="K135" s="39">
        <f>SUMIF('Composição dos serv'!A:A,B135,'Composição dos serv'!K:K)</f>
        <v>0.21</v>
      </c>
      <c r="L135" s="40">
        <f t="shared" si="28"/>
        <v>1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4.25" customHeight="1">
      <c r="A136" s="26" t="str">
        <f>A133</f>
        <v>D21.7</v>
      </c>
      <c r="B136" s="50" t="s">
        <v>215</v>
      </c>
      <c r="C136" s="37" t="str">
        <f>VLOOKUP(B136,'Composição dos serv'!A:I,3,FALSE)</f>
        <v>Remoção de caixa d'agua</v>
      </c>
      <c r="D136" s="26" t="str">
        <f>VLOOKUP(B136,'Composição dos serv'!A:I,4,FALSE)</f>
        <v>unid</v>
      </c>
      <c r="E136" s="37">
        <v>1</v>
      </c>
      <c r="F136" s="37">
        <f t="shared" si="34"/>
        <v>1</v>
      </c>
      <c r="G136" s="51">
        <f>SUMIF('Composição dos serv'!A:A,B136,'Composição dos serv'!I:I)</f>
        <v>0</v>
      </c>
      <c r="H136" s="38">
        <f t="shared" si="35"/>
        <v>0</v>
      </c>
      <c r="I136" s="24"/>
      <c r="J136" s="24"/>
      <c r="K136" s="39">
        <f>SUMIF('Composição dos serv'!A:A,B136,'Composição dos serv'!K:K)</f>
        <v>0.42000000000000004</v>
      </c>
      <c r="L136" s="40">
        <f t="shared" si="28"/>
        <v>1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4.25" hidden="1" customHeight="1">
      <c r="A137" s="26" t="str">
        <f>A133</f>
        <v>D21.7</v>
      </c>
      <c r="B137" s="50" t="s">
        <v>219</v>
      </c>
      <c r="C137" s="37" t="str">
        <f>VLOOKUP(B137,'Composição dos serv'!A:I,3,FALSE)</f>
        <v>Remoção do Sistema de Para raios - área do telhado</v>
      </c>
      <c r="D137" s="26" t="str">
        <f>VLOOKUP(B137,'Composição dos serv'!A:I,4,FALSE)</f>
        <v>m²</v>
      </c>
      <c r="E137" s="37"/>
      <c r="F137" s="37">
        <f>ROUNDUP(E137/60,2)</f>
        <v>0</v>
      </c>
      <c r="G137" s="51">
        <f>SUMIF('Composição dos serv'!A:A,B137,'Composição dos serv'!I:I)</f>
        <v>0</v>
      </c>
      <c r="H137" s="38">
        <f t="shared" si="35"/>
        <v>0</v>
      </c>
      <c r="I137" s="24"/>
      <c r="J137" s="24"/>
      <c r="K137" s="39">
        <f>SUMIF('Composição dos serv'!A:A,B137,'Composição dos serv'!K:K)</f>
        <v>0.05</v>
      </c>
      <c r="L137" s="40">
        <f t="shared" si="28"/>
        <v>0</v>
      </c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4.25" customHeight="1">
      <c r="A138" s="26" t="str">
        <f>A133</f>
        <v>D21.7</v>
      </c>
      <c r="B138" s="50" t="s">
        <v>227</v>
      </c>
      <c r="C138" s="37" t="str">
        <f>VLOOKUP(B138,'Composição dos serv'!A:I,3,FALSE)</f>
        <v>Janelas</v>
      </c>
      <c r="D138" s="26" t="str">
        <f>VLOOKUP(B138,'Composição dos serv'!A:I,4,FALSE)</f>
        <v>un</v>
      </c>
      <c r="E138" s="37">
        <v>5</v>
      </c>
      <c r="F138" s="37">
        <f>ROUNDUP(E138*1.5*1.2*0.2,2)</f>
        <v>1.8</v>
      </c>
      <c r="G138" s="51">
        <f>SUMIF('Composição dos serv'!A:A,B138,'Composição dos serv'!I:I)</f>
        <v>0</v>
      </c>
      <c r="H138" s="38">
        <f t="shared" si="35"/>
        <v>0</v>
      </c>
      <c r="I138" s="24"/>
      <c r="J138" s="24"/>
      <c r="K138" s="39">
        <f>SUMIF('Composição dos serv'!A:A,B138,'Composição dos serv'!K:K)</f>
        <v>0</v>
      </c>
      <c r="L138" s="40">
        <f t="shared" si="28"/>
        <v>0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4.25" customHeight="1">
      <c r="A139" s="26" t="str">
        <f>A133</f>
        <v>D21.7</v>
      </c>
      <c r="B139" s="50" t="s">
        <v>234</v>
      </c>
      <c r="C139" s="37" t="str">
        <f>VLOOKUP(B139,'Composição dos serv'!A:I,3,FALSE)</f>
        <v>Portas</v>
      </c>
      <c r="D139" s="26" t="str">
        <f>VLOOKUP(B139,'Composição dos serv'!A:I,4,FALSE)</f>
        <v>un</v>
      </c>
      <c r="E139" s="37">
        <v>2</v>
      </c>
      <c r="F139" s="37">
        <f>ROUNDUP(E139*2.1*0.9*0.2,2)</f>
        <v>0.76</v>
      </c>
      <c r="G139" s="51">
        <f>SUMIF('Composição dos serv'!A:A,B139,'Composição dos serv'!I:I)</f>
        <v>0</v>
      </c>
      <c r="H139" s="38">
        <f t="shared" si="35"/>
        <v>0</v>
      </c>
      <c r="I139" s="24"/>
      <c r="J139" s="24"/>
      <c r="K139" s="39">
        <f>SUMIF('Composição dos serv'!A:A,B139,'Composição dos serv'!K:K)</f>
        <v>0</v>
      </c>
      <c r="L139" s="40">
        <f t="shared" si="28"/>
        <v>0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4.25" hidden="1" customHeight="1">
      <c r="A140" s="26" t="str">
        <f>A133</f>
        <v>D21.7</v>
      </c>
      <c r="B140" s="50" t="s">
        <v>236</v>
      </c>
      <c r="C140" s="37" t="str">
        <f>VLOOKUP(B140,'Composição dos serv'!A:I,3,FALSE)</f>
        <v>Guarda corpo de metal</v>
      </c>
      <c r="D140" s="26" t="str">
        <f>VLOOKUP(B140,'Composição dos serv'!A:I,4,FALSE)</f>
        <v>m</v>
      </c>
      <c r="E140" s="37"/>
      <c r="F140" s="37">
        <f>ROUNDUP(E140*1.7*0.05,2)</f>
        <v>0</v>
      </c>
      <c r="G140" s="51">
        <f>SUMIF('Composição dos serv'!A:A,B140,'Composição dos serv'!I:I)</f>
        <v>0</v>
      </c>
      <c r="H140" s="38">
        <f t="shared" si="35"/>
        <v>0</v>
      </c>
      <c r="I140" s="24"/>
      <c r="J140" s="24"/>
      <c r="K140" s="39">
        <f>SUMIF('Composição dos serv'!A:A,B140,'Composição dos serv'!K:K)</f>
        <v>0</v>
      </c>
      <c r="L140" s="40">
        <f t="shared" si="28"/>
        <v>0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4.25" customHeight="1">
      <c r="A141" s="33" t="str">
        <f>CONCATENATE(A107,".8")</f>
        <v>D21.8</v>
      </c>
      <c r="B141" s="33" t="s">
        <v>240</v>
      </c>
      <c r="C141" s="48" t="str">
        <f>VLOOKUP(B141,'Composição dos serv'!A:I,3,FALSE)</f>
        <v>ENTULHO</v>
      </c>
      <c r="D141" s="48"/>
      <c r="E141" s="48"/>
      <c r="F141" s="48"/>
      <c r="G141" s="48"/>
      <c r="H141" s="48"/>
      <c r="I141" s="24"/>
      <c r="J141" s="24"/>
      <c r="K141" s="39">
        <f>SUMIF('Composição dos serv'!A:A,B141,'Composição dos serv'!K:K)</f>
        <v>0</v>
      </c>
      <c r="L141" s="40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4.25" hidden="1" customHeight="1">
      <c r="A142" s="26" t="str">
        <f>A141</f>
        <v>D21.8</v>
      </c>
      <c r="B142" s="50" t="s">
        <v>242</v>
      </c>
      <c r="C142" s="49" t="str">
        <f>VLOOKUP(B142,'Composição dos serv'!A:I,3,FALSE)</f>
        <v>Transporte e espalhamento Manual do entulho a ser reutilizado</v>
      </c>
      <c r="D142" s="50" t="s">
        <v>291</v>
      </c>
      <c r="E142" s="49"/>
      <c r="F142" s="52">
        <f>IF(E142=1,ROUNDUP((IF(E110&lt;&gt;"",F110,0)+IF(E111&lt;&gt;"",F111,0)+IF(E113&lt;&gt;"",F113,0)+IF(E114&lt;&gt;"",F114*0.34,0)+IF(E117&lt;&gt;"",F117*0.43,0)+IF(E120&lt;&gt;"",F120*0.8,0)+IF(E123&lt;&gt;"",F123*(0.78),0)+IF(E127&lt;&gt;"",F127*0.98,0)+IF(E129&lt;&gt;"",F129*0.91,0)+IF(E130&lt;&gt;"",F130*0.26,0)+IF(E131&lt;&gt;"",F131*0.24,0)+IF(E132&lt;&gt;"",F132,0)),2),0)</f>
        <v>0</v>
      </c>
      <c r="G142" s="51">
        <f>SUMIF('Composição dos serv'!A:A,B142,'Composição dos serv'!I:I)</f>
        <v>0</v>
      </c>
      <c r="H142" s="51">
        <f t="shared" ref="H142:H143" si="36">F142*G142</f>
        <v>0</v>
      </c>
      <c r="I142" s="24"/>
      <c r="J142" s="24"/>
      <c r="K142" s="39">
        <f>SUMIF('Composição dos serv'!A:A,B142,'Composição dos serv'!K:K)</f>
        <v>0.15000000000000002</v>
      </c>
      <c r="L142" s="40">
        <f t="shared" ref="L142:L145" si="37">ROUNDUP(K142*F142,0)</f>
        <v>0</v>
      </c>
      <c r="M142" s="45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4.25" hidden="1" customHeight="1">
      <c r="A143" s="26" t="str">
        <f>A141</f>
        <v>D21.8</v>
      </c>
      <c r="B143" s="50" t="s">
        <v>246</v>
      </c>
      <c r="C143" s="49" t="str">
        <f>VLOOKUP(B143,'Composição dos serv'!A:I,3,FALSE)</f>
        <v>Remoção e Transporte Mecanizado do entulho a ser reutilizado</v>
      </c>
      <c r="D143" s="50" t="s">
        <v>291</v>
      </c>
      <c r="E143" s="49"/>
      <c r="F143" s="52">
        <f>IF(E143=1,SUM(F110:F140)-H147,0)</f>
        <v>0</v>
      </c>
      <c r="G143" s="51">
        <f>SUMIF('Composição dos serv'!A:A,B143,'Composição dos serv'!I:I)</f>
        <v>0</v>
      </c>
      <c r="H143" s="51">
        <f t="shared" si="36"/>
        <v>0</v>
      </c>
      <c r="I143" s="24"/>
      <c r="J143" s="24"/>
      <c r="K143" s="39">
        <f>SUMIF('Composição dos serv'!A:A,B143,'Composição dos serv'!K:K)</f>
        <v>0.02</v>
      </c>
      <c r="L143" s="40">
        <f t="shared" si="37"/>
        <v>0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4.25" customHeight="1">
      <c r="A144" s="26" t="str">
        <f>A141</f>
        <v>D21.8</v>
      </c>
      <c r="B144" s="50" t="s">
        <v>252</v>
      </c>
      <c r="C144" s="49" t="str">
        <f>VLOOKUP(B144,'Composição dos serv'!A:I,3,FALSE)</f>
        <v>Remoção do entulho com caçamba</v>
      </c>
      <c r="D144" s="50" t="s">
        <v>291</v>
      </c>
      <c r="E144" s="49">
        <v>1</v>
      </c>
      <c r="F144" s="52">
        <f>IF(E144=1,SUM(F110:F140),0)</f>
        <v>353.02</v>
      </c>
      <c r="G144" s="51">
        <f>SUMIF('Composição dos serv'!A:A,B144,'Composição dos serv'!I:I)</f>
        <v>0</v>
      </c>
      <c r="H144" s="51">
        <f>IF(E144&gt;1,"OPÇÃO ERRADA",F144*G144)+IF(G147=1,H147*G144,0)</f>
        <v>0</v>
      </c>
      <c r="I144" s="24"/>
      <c r="J144" s="24"/>
      <c r="K144" s="39">
        <f>SUMIF('Composição dos serv'!A:A,B144,'Composição dos serv'!K:K)</f>
        <v>0.02</v>
      </c>
      <c r="L144" s="40">
        <f t="shared" si="37"/>
        <v>8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4.25" hidden="1" customHeight="1">
      <c r="A145" s="26" t="str">
        <f>A141</f>
        <v>D21.8</v>
      </c>
      <c r="B145" s="50" t="s">
        <v>256</v>
      </c>
      <c r="C145" s="49" t="str">
        <f>VLOOKUP(B145,'Composição dos serv'!A:I,3,FALSE)</f>
        <v>Remoção e Transporte Mecanizado do entulho para bota fora</v>
      </c>
      <c r="D145" s="50" t="s">
        <v>291</v>
      </c>
      <c r="E145" s="49"/>
      <c r="F145" s="52">
        <f>IF(E145=1,SUM(F110:F140),0)</f>
        <v>0</v>
      </c>
      <c r="G145" s="51">
        <f>SUMIF('Composição dos serv'!A:A,B145,'Composição dos serv'!I:I)</f>
        <v>0</v>
      </c>
      <c r="H145" s="51">
        <f>IF(E145&gt;1,"OPÇÃO ERRADA",F145*G145)+IF(G147=2,H147*G145,0)</f>
        <v>0</v>
      </c>
      <c r="I145" s="24"/>
      <c r="J145" s="24"/>
      <c r="K145" s="39">
        <f>SUMIF('Composição dos serv'!A:A,B145,'Composição dos serv'!K:K)</f>
        <v>7.9999999999999988E-2</v>
      </c>
      <c r="L145" s="40">
        <f t="shared" si="37"/>
        <v>0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4.25" customHeight="1">
      <c r="A146" s="26" t="str">
        <f>A141</f>
        <v>D21.8</v>
      </c>
      <c r="B146" s="50" t="s">
        <v>264</v>
      </c>
      <c r="C146" s="49" t="str">
        <f>VLOOKUP(B146,'Composição dos serv'!A:I,3,FALSE)</f>
        <v>Remoção de telhas em cimento amianto</v>
      </c>
      <c r="D146" s="26" t="str">
        <f>VLOOKUP(B146,'Composição dos serv'!A:I,4,FALSE)</f>
        <v>m²</v>
      </c>
      <c r="E146" s="49">
        <f>SUM(E118:E119)</f>
        <v>276</v>
      </c>
      <c r="F146" s="52"/>
      <c r="G146" s="51">
        <f>SUMIF('Composição dos serv'!A:A,B146,'Composição dos serv'!I:I)</f>
        <v>0</v>
      </c>
      <c r="H146" s="51">
        <f>G146*E146</f>
        <v>0</v>
      </c>
      <c r="I146" s="24"/>
      <c r="J146" s="24"/>
      <c r="K146" s="39"/>
      <c r="L146" s="40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4.25" customHeight="1">
      <c r="A147" s="53"/>
      <c r="B147" s="53"/>
      <c r="C147" s="37" t="str">
        <f>IF(E144&lt;&gt;1,IF(E145&lt;&gt;1,IF(H147&lt;&gt;0,"Há Material não reutilizavel qual a destinação para ele?",""),""),"")</f>
        <v/>
      </c>
      <c r="D147" s="168" t="str">
        <f>IF(E144&lt;&gt;1,IF(E145&lt;&gt;1,IF(H147&lt;&gt;0,"Caçamba = 1; Aterro = 2",""),""),"")</f>
        <v/>
      </c>
      <c r="E147" s="169"/>
      <c r="F147" s="170"/>
      <c r="G147" s="37">
        <v>1</v>
      </c>
      <c r="H147" s="54">
        <f>IF(E144=1,0,IF(E145=1,0,ROUNDUP((IF(E114&lt;&gt;"",F114*0.66,0)+IF(E117&lt;&gt;"",F117*0.57,0)+IF(E119&lt;&gt;"",F119,0)+IF(E120&lt;&gt;"",F120*0.2,0)+IF(E121&lt;&gt;"",F121,0)+IF(E123&lt;&gt;"",F123*0.22,0)+IF(E124&lt;&gt;"",F124,0)+IF(E125&lt;&gt;"",F125,0)+IF(E127&lt;&gt;"",F127*0.02,0)+IF(E129&lt;&gt;"",F129*0.09,0)+IF(E130&lt;&gt;"",F130*0.74,0)+IF(E131&lt;&gt;"",F131*(1-0.24),0)+IF(E134&lt;&gt;"",F134,0)+IF(E135&lt;&gt;"",F135,0)+IF(E136&lt;&gt;"",F136,0)+IF(E137&lt;&gt;"",F137,0)+IF(E138&lt;&gt;"",F138,0)+IF(E139&lt;&gt;"",F139,0)+IF(E140&lt;&gt;"",F140,0)+IF(E118&lt;&gt;"",F118,0)+IF(E116&lt;&gt;"",F116,0)),2)))</f>
        <v>0</v>
      </c>
      <c r="I147" s="24"/>
      <c r="J147" s="24"/>
      <c r="K147" s="39"/>
      <c r="L147" s="40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6" customHeight="1">
      <c r="I148" s="24"/>
      <c r="J148" s="24"/>
      <c r="K148" s="39">
        <f>SUMIF('Composição dos serv'!A:A,'PESM Itutinga Piloes pt2'!B148,'Composição dos serv'!K:K)</f>
        <v>0</v>
      </c>
      <c r="L148" s="40">
        <f>ROUNDUP(K148*E148,0)</f>
        <v>0</v>
      </c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4.25" customHeight="1">
      <c r="A149" s="62" t="str">
        <f>A107</f>
        <v>D21</v>
      </c>
      <c r="B149" s="191" t="str">
        <f>C107</f>
        <v>EDIFICAÇÃO 18 - Gleba D21</v>
      </c>
      <c r="C149" s="169"/>
      <c r="D149" s="192" t="s">
        <v>280</v>
      </c>
      <c r="E149" s="169"/>
      <c r="F149" s="169"/>
      <c r="G149" s="64">
        <f>SUM(H110:H146)</f>
        <v>0</v>
      </c>
      <c r="H149" s="65"/>
      <c r="I149" s="24"/>
      <c r="J149" s="24"/>
      <c r="K149" s="39">
        <f>IF(SUM(L142:L145)&gt;SUM(L110:L140),SUM(L142:L145),SUM(L110:L140))</f>
        <v>94</v>
      </c>
      <c r="L149" s="40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9.75" customHeight="1">
      <c r="A150" s="66"/>
      <c r="B150" s="53"/>
      <c r="D150" s="53"/>
      <c r="G150" s="67"/>
      <c r="H150" s="67"/>
      <c r="I150" s="24"/>
      <c r="J150" s="24"/>
      <c r="K150" s="39">
        <f>SUMIF('Composição dos serv'!A:A,'PESM Itutinga Piloes pt2'!B150,'Composição dos serv'!K:K)</f>
        <v>0</v>
      </c>
      <c r="L150" s="40">
        <f t="shared" ref="L150:L152" si="38">ROUNDUP(K150*E150,0)</f>
        <v>0</v>
      </c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9.5" customHeight="1">
      <c r="A151" s="68" t="s">
        <v>335</v>
      </c>
      <c r="B151" s="68">
        <v>2</v>
      </c>
      <c r="C151" s="69" t="s">
        <v>336</v>
      </c>
      <c r="D151" s="69"/>
      <c r="E151" s="69"/>
      <c r="F151" s="69"/>
      <c r="G151" s="69"/>
      <c r="H151" s="69"/>
      <c r="I151" s="24"/>
      <c r="J151" s="24"/>
      <c r="K151" s="39">
        <f>SUMIF('Composição dos serv'!A:A,'PESM Itutinga Piloes pt2'!B151,'Composição dos serv'!K:K)</f>
        <v>0</v>
      </c>
      <c r="L151" s="40">
        <f t="shared" si="38"/>
        <v>0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6" customHeight="1">
      <c r="A152" s="26"/>
      <c r="B152" s="66"/>
      <c r="C152" s="66"/>
      <c r="D152" s="66"/>
      <c r="E152" s="66"/>
      <c r="F152" s="66"/>
      <c r="G152" s="66"/>
      <c r="H152" s="66"/>
      <c r="I152" s="24"/>
      <c r="J152" s="24"/>
      <c r="K152" s="39">
        <f>SUMIF('Composição dos serv'!A:A,'PESM Itutinga Piloes pt2'!B152,'Composição dos serv'!K:K)</f>
        <v>0</v>
      </c>
      <c r="L152" s="40">
        <f t="shared" si="38"/>
        <v>0</v>
      </c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4.25" customHeight="1">
      <c r="A153" s="33" t="str">
        <f>CONCATENATE(A151,".1")</f>
        <v>D27.1</v>
      </c>
      <c r="B153" s="33" t="s">
        <v>67</v>
      </c>
      <c r="C153" s="48" t="str">
        <f>VLOOKUP(B153,'Composição dos serv'!A:I,3,FALSE)</f>
        <v>DEMOLIÇÃO DE CALÇADAS E/OU CAMINHOS</v>
      </c>
      <c r="D153" s="48"/>
      <c r="E153" s="48"/>
      <c r="F153" s="48"/>
      <c r="G153" s="48"/>
      <c r="H153" s="48"/>
      <c r="I153" s="24"/>
      <c r="J153" s="24"/>
      <c r="K153" s="31"/>
      <c r="L153" s="32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4.25" customHeight="1">
      <c r="A154" s="26" t="str">
        <f>A153</f>
        <v>D27.1</v>
      </c>
      <c r="B154" s="26" t="s">
        <v>69</v>
      </c>
      <c r="C154" s="49" t="str">
        <f>VLOOKUP(B154,'Composição dos serv'!A:I,3,FALSE)</f>
        <v>Demolição de calçada ou caminhos</v>
      </c>
      <c r="D154" s="50" t="str">
        <f>VLOOKUP(B154,'Composição dos serv'!A:I,4,FALSE)</f>
        <v>m²</v>
      </c>
      <c r="E154" s="49">
        <v>12</v>
      </c>
      <c r="F154" s="49">
        <f>ROUNDUP(E154*0.15,2)</f>
        <v>1.8</v>
      </c>
      <c r="G154" s="51">
        <f>SUMIF('Composição dos serv'!A:A,'PESM Itutinga Piloes pt2'!B154,'Composição dos serv'!I:I)</f>
        <v>0</v>
      </c>
      <c r="H154" s="51">
        <f t="shared" ref="H154:H155" si="39">E154*G154</f>
        <v>0</v>
      </c>
      <c r="I154" s="24"/>
      <c r="J154" s="24"/>
      <c r="K154" s="39">
        <f>SUMIF('Composição dos serv'!A:A,B154,'Composição dos serv'!K:K)</f>
        <v>0.12</v>
      </c>
      <c r="L154" s="40">
        <f t="shared" ref="L154:L184" si="40">ROUNDUP(K154*E154,0)</f>
        <v>2</v>
      </c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4.25" customHeight="1">
      <c r="A155" s="26" t="str">
        <f>A153</f>
        <v>D27.1</v>
      </c>
      <c r="B155" s="26" t="s">
        <v>75</v>
      </c>
      <c r="C155" s="37" t="str">
        <f>VLOOKUP(B155,'Composição dos serv'!A:I,3,FALSE)</f>
        <v>Demolição de via Asfaltada, em paralelepípedo ou intertravados</v>
      </c>
      <c r="D155" s="26" t="str">
        <f>VLOOKUP(B155,'Composição dos serv'!A:I,4,FALSE)</f>
        <v>m²</v>
      </c>
      <c r="E155" s="37">
        <v>5</v>
      </c>
      <c r="F155" s="37">
        <f>ROUNDUP(E155*0.2,2)</f>
        <v>1</v>
      </c>
      <c r="G155" s="38">
        <f>SUMIF('Composição dos serv'!A:A,'PESM Itutinga Piloes pt2'!B155,'Composição dos serv'!I:I)</f>
        <v>0</v>
      </c>
      <c r="H155" s="38">
        <f t="shared" si="39"/>
        <v>0</v>
      </c>
      <c r="I155" s="24"/>
      <c r="J155" s="24"/>
      <c r="K155" s="39">
        <f>SUMIF('Composição dos serv'!A:A,B155,'Composição dos serv'!K:K)</f>
        <v>0.06</v>
      </c>
      <c r="L155" s="40">
        <f t="shared" si="40"/>
        <v>1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4.25" customHeight="1">
      <c r="A156" s="33" t="str">
        <f>CONCATENATE(A151,".2")</f>
        <v>D27.2</v>
      </c>
      <c r="B156" s="33" t="s">
        <v>85</v>
      </c>
      <c r="C156" s="34" t="str">
        <f>VLOOKUP(B156,'Composição dos serv'!A:I,3,FALSE)</f>
        <v>DEMOLIÇÃO DE MUROS E CERCAS</v>
      </c>
      <c r="D156" s="35"/>
      <c r="E156" s="35"/>
      <c r="F156" s="35"/>
      <c r="G156" s="35"/>
      <c r="H156" s="36"/>
      <c r="I156" s="24"/>
      <c r="J156" s="24"/>
      <c r="K156" s="39">
        <f>SUMIF('Composição dos serv'!A:A,B156,'Composição dos serv'!K:K)</f>
        <v>0</v>
      </c>
      <c r="L156" s="40">
        <f t="shared" si="40"/>
        <v>0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4.25" hidden="1" customHeight="1">
      <c r="A157" s="26" t="str">
        <f>A156</f>
        <v>D27.2</v>
      </c>
      <c r="B157" s="26" t="s">
        <v>87</v>
      </c>
      <c r="C157" s="37" t="str">
        <f>VLOOKUP(B157,'Composição dos serv'!A:I,3,FALSE)</f>
        <v>Demolição de muro em alvenaria ou alambrados</v>
      </c>
      <c r="D157" s="26" t="str">
        <f>VLOOKUP(B157,'Composição dos serv'!A:I,4,FALSE)</f>
        <v>m</v>
      </c>
      <c r="E157" s="37"/>
      <c r="F157" s="37">
        <f>ROUNDUP(E157*0.2*2.4,2)</f>
        <v>0</v>
      </c>
      <c r="G157" s="38">
        <f>SUMIF('Composição dos serv'!A:A,'PESM Itutinga Piloes pt2'!B157,'Composição dos serv'!I:I)</f>
        <v>0</v>
      </c>
      <c r="H157" s="38">
        <f t="shared" ref="H157:H158" si="41">E157*G157</f>
        <v>0</v>
      </c>
      <c r="I157" s="24"/>
      <c r="J157" s="24"/>
      <c r="K157" s="39">
        <f>SUMIF('Composição dos serv'!A:A,B157,'Composição dos serv'!K:K)</f>
        <v>0.26</v>
      </c>
      <c r="L157" s="40">
        <f t="shared" si="40"/>
        <v>0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4.25" customHeight="1">
      <c r="A158" s="26" t="str">
        <f>A156</f>
        <v>D27.2</v>
      </c>
      <c r="B158" s="26" t="s">
        <v>93</v>
      </c>
      <c r="C158" s="37" t="str">
        <f>VLOOKUP(B158,'Composição dos serv'!A:I,3,FALSE)</f>
        <v>Demolição de Cercas</v>
      </c>
      <c r="D158" s="26" t="str">
        <f>VLOOKUP(B158,'Composição dos serv'!A:I,4,FALSE)</f>
        <v>m</v>
      </c>
      <c r="E158" s="37">
        <v>200</v>
      </c>
      <c r="F158" s="37">
        <f>ROUNDUP(E158*0.1*1.8,2)</f>
        <v>36</v>
      </c>
      <c r="G158" s="38">
        <f>SUMIF('Composição dos serv'!A:A,'PESM Itutinga Piloes pt2'!B158,'Composição dos serv'!I:I)</f>
        <v>0</v>
      </c>
      <c r="H158" s="38">
        <f t="shared" si="41"/>
        <v>0</v>
      </c>
      <c r="I158" s="24"/>
      <c r="J158" s="24"/>
      <c r="K158" s="39">
        <f>SUMIF('Composição dos serv'!A:A,B158,'Composição dos serv'!K:K)</f>
        <v>0.06</v>
      </c>
      <c r="L158" s="40">
        <f t="shared" si="40"/>
        <v>12</v>
      </c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4.25" customHeight="1">
      <c r="A159" s="33" t="str">
        <f>CONCATENATE(A151,".3")</f>
        <v>D27.3</v>
      </c>
      <c r="B159" s="33" t="s">
        <v>99</v>
      </c>
      <c r="C159" s="48" t="str">
        <f>VLOOKUP(B159,'Composição dos serv'!A:I,3,FALSE)</f>
        <v>COBERTURA</v>
      </c>
      <c r="D159" s="48"/>
      <c r="E159" s="48"/>
      <c r="F159" s="48"/>
      <c r="G159" s="48"/>
      <c r="H159" s="48"/>
      <c r="I159" s="24"/>
      <c r="J159" s="24"/>
      <c r="K159" s="39">
        <f>SUMIF('Composição dos serv'!A:A,B159,'Composição dos serv'!K:K)</f>
        <v>0</v>
      </c>
      <c r="L159" s="40">
        <f t="shared" si="40"/>
        <v>0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4.25" hidden="1" customHeight="1">
      <c r="A160" s="26" t="str">
        <f t="shared" ref="A160:A165" si="42">A159</f>
        <v>D27.3</v>
      </c>
      <c r="B160" s="26" t="s">
        <v>101</v>
      </c>
      <c r="C160" s="37" t="str">
        <f>VLOOKUP(B160,'Composição dos serv'!A:I,3,FALSE)</f>
        <v>Retirada de Estrutura de madeira sem telhas</v>
      </c>
      <c r="D160" s="26" t="str">
        <f>VLOOKUP(B160,'Composição dos serv'!A:I,4,FALSE)</f>
        <v>m²</v>
      </c>
      <c r="E160" s="37"/>
      <c r="F160" s="37">
        <f>ROUNDUP(E160*0.2,2)</f>
        <v>0</v>
      </c>
      <c r="G160" s="38">
        <f>SUMIF('Composição dos serv'!A:A,'PESM Itutinga Piloes pt2'!B160,'Composição dos serv'!I:I)</f>
        <v>0</v>
      </c>
      <c r="H160" s="38">
        <f t="shared" ref="H160:H165" si="43">E160*G160</f>
        <v>0</v>
      </c>
      <c r="I160" s="24"/>
      <c r="J160" s="24"/>
      <c r="K160" s="39">
        <f>SUMIF('Composição dos serv'!A:A,B160,'Composição dos serv'!K:K)</f>
        <v>0.03</v>
      </c>
      <c r="L160" s="40">
        <f t="shared" si="40"/>
        <v>0</v>
      </c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4.25" hidden="1" customHeight="1">
      <c r="A161" s="26" t="str">
        <f t="shared" si="42"/>
        <v>D27.3</v>
      </c>
      <c r="B161" s="26" t="s">
        <v>105</v>
      </c>
      <c r="C161" s="37" t="str">
        <f>VLOOKUP(B161,'Composição dos serv'!A:I,3,FALSE)</f>
        <v>Retirada de Telhas de Barro com Estrutura em madeira (tesouras, treliças,...)</v>
      </c>
      <c r="D161" s="26" t="str">
        <f>VLOOKUP(B161,'Composição dos serv'!A:I,4,FALSE)</f>
        <v>m²</v>
      </c>
      <c r="E161" s="37"/>
      <c r="F161" s="37">
        <f>ROUNDUP(E161*0.08+E161*0.2,2)</f>
        <v>0</v>
      </c>
      <c r="G161" s="38">
        <f>SUMIF('Composição dos serv'!A:A,'PESM Itutinga Piloes pt2'!B161,'Composição dos serv'!I:I)</f>
        <v>0</v>
      </c>
      <c r="H161" s="38">
        <f t="shared" si="43"/>
        <v>0</v>
      </c>
      <c r="I161" s="24"/>
      <c r="J161" s="24"/>
      <c r="K161" s="39">
        <f>SUMIF('Composição dos serv'!A:A,B161,'Composição dos serv'!K:K)</f>
        <v>0.06</v>
      </c>
      <c r="L161" s="40">
        <f t="shared" si="40"/>
        <v>0</v>
      </c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4.25" hidden="1" customHeight="1">
      <c r="A162" s="26" t="str">
        <f t="shared" si="42"/>
        <v>D27.3</v>
      </c>
      <c r="B162" s="26" t="s">
        <v>111</v>
      </c>
      <c r="C162" s="37" t="str">
        <f>VLOOKUP(B162,'Composição dos serv'!A:I,3,FALSE)</f>
        <v>Retirada de Telhas de amianto Sem Estrutura</v>
      </c>
      <c r="D162" s="26" t="str">
        <f>VLOOKUP(B162,'Composição dos serv'!A:I,4,FALSE)</f>
        <v>m²</v>
      </c>
      <c r="E162" s="37"/>
      <c r="F162" s="37"/>
      <c r="G162" s="38">
        <f>SUMIF('Composição dos serv'!A:A,'PESM Itutinga Piloes pt2'!B162,'Composição dos serv'!I:I)</f>
        <v>0</v>
      </c>
      <c r="H162" s="38">
        <f t="shared" si="43"/>
        <v>0</v>
      </c>
      <c r="I162" s="24"/>
      <c r="J162" s="24"/>
      <c r="K162" s="39">
        <f>SUMIF('Composição dos serv'!A:A,B162,'Composição dos serv'!K:K)</f>
        <v>0.02</v>
      </c>
      <c r="L162" s="40">
        <f t="shared" si="40"/>
        <v>0</v>
      </c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4.25" customHeight="1">
      <c r="A163" s="26" t="str">
        <f t="shared" si="42"/>
        <v>D27.3</v>
      </c>
      <c r="B163" s="26" t="s">
        <v>117</v>
      </c>
      <c r="C163" s="37" t="str">
        <f>VLOOKUP(B163,'Composição dos serv'!A:I,3,FALSE)</f>
        <v>Retirada de Telhas de amianto com Estrutura em madeira (tesouras, treliças,...)</v>
      </c>
      <c r="D163" s="26" t="str">
        <f>VLOOKUP(B163,'Composição dos serv'!A:I,4,FALSE)</f>
        <v>m²</v>
      </c>
      <c r="E163" s="37">
        <v>399</v>
      </c>
      <c r="F163" s="37">
        <f>ROUNDUP(E163*0.1,2)</f>
        <v>39.9</v>
      </c>
      <c r="G163" s="38">
        <f>SUMIF('Composição dos serv'!A:A,'PESM Itutinga Piloes pt2'!B163,'Composição dos serv'!I:I)</f>
        <v>0</v>
      </c>
      <c r="H163" s="38">
        <f t="shared" si="43"/>
        <v>0</v>
      </c>
      <c r="I163" s="24"/>
      <c r="J163" s="24"/>
      <c r="K163" s="39">
        <f>SUMIF('Composição dos serv'!A:A,B163,'Composição dos serv'!K:K)</f>
        <v>0.04</v>
      </c>
      <c r="L163" s="40">
        <f t="shared" si="40"/>
        <v>16</v>
      </c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4.25" customHeight="1">
      <c r="A164" s="26" t="str">
        <f t="shared" si="42"/>
        <v>D27.3</v>
      </c>
      <c r="B164" s="26" t="s">
        <v>121</v>
      </c>
      <c r="C164" s="37" t="str">
        <f>VLOOKUP(B164,'Composição dos serv'!A:I,3,FALSE)</f>
        <v>Retirada de Laje em concreto</v>
      </c>
      <c r="D164" s="26" t="str">
        <f>VLOOKUP(B164,'Composição dos serv'!A:I,4,FALSE)</f>
        <v>m²</v>
      </c>
      <c r="E164" s="37">
        <v>60</v>
      </c>
      <c r="F164" s="37">
        <f>ROUNDUP(E164*0.12,2)</f>
        <v>7.2</v>
      </c>
      <c r="G164" s="38">
        <f>SUMIF('Composição dos serv'!A:A,'PESM Itutinga Piloes pt2'!B164,'Composição dos serv'!I:I)</f>
        <v>0</v>
      </c>
      <c r="H164" s="38">
        <f t="shared" si="43"/>
        <v>0</v>
      </c>
      <c r="I164" s="24"/>
      <c r="J164" s="24"/>
      <c r="K164" s="39">
        <f>SUMIF('Composição dos serv'!A:A,B164,'Composição dos serv'!K:K)</f>
        <v>0.09</v>
      </c>
      <c r="L164" s="40">
        <f t="shared" si="40"/>
        <v>6</v>
      </c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4.25" customHeight="1">
      <c r="A165" s="26" t="str">
        <f t="shared" si="42"/>
        <v>D27.3</v>
      </c>
      <c r="B165" s="26" t="s">
        <v>129</v>
      </c>
      <c r="C165" s="37" t="str">
        <f>VLOOKUP(B165,'Composição dos serv'!A:I,3,FALSE)</f>
        <v>Retirada de Forros qualquer com sistema de fixação</v>
      </c>
      <c r="D165" s="26" t="str">
        <f>VLOOKUP(B165,'Composição dos serv'!A:I,4,FALSE)</f>
        <v>m²</v>
      </c>
      <c r="E165" s="37">
        <v>239</v>
      </c>
      <c r="F165" s="37">
        <f>ROUNDUP(E165*0.1,2)</f>
        <v>23.9</v>
      </c>
      <c r="G165" s="38">
        <f>SUMIF('Composição dos serv'!A:A,'PESM Itutinga Piloes pt2'!B165,'Composição dos serv'!I:I)</f>
        <v>0</v>
      </c>
      <c r="H165" s="38">
        <f t="shared" si="43"/>
        <v>0</v>
      </c>
      <c r="I165" s="24"/>
      <c r="J165" s="24"/>
      <c r="K165" s="39">
        <f>SUMIF('Composição dos serv'!A:A,B165,'Composição dos serv'!K:K)</f>
        <v>0.04</v>
      </c>
      <c r="L165" s="40">
        <f t="shared" si="40"/>
        <v>10</v>
      </c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4.25" customHeight="1">
      <c r="A166" s="33" t="str">
        <f>CONCATENATE(A151,".4")</f>
        <v>D27.4</v>
      </c>
      <c r="B166" s="33" t="s">
        <v>133</v>
      </c>
      <c r="C166" s="34" t="str">
        <f>VLOOKUP(B166,'Composição dos serv'!A:I,3,FALSE)</f>
        <v>PAREDES</v>
      </c>
      <c r="D166" s="35"/>
      <c r="E166" s="35"/>
      <c r="F166" s="35"/>
      <c r="G166" s="35"/>
      <c r="H166" s="36"/>
      <c r="I166" s="24"/>
      <c r="J166" s="24"/>
      <c r="K166" s="39">
        <f>SUMIF('Composição dos serv'!A:A,B166,'Composição dos serv'!K:K)</f>
        <v>0</v>
      </c>
      <c r="L166" s="40">
        <f t="shared" si="40"/>
        <v>0</v>
      </c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14.25" customHeight="1">
      <c r="A167" s="26" t="str">
        <f>A166</f>
        <v>D27.4</v>
      </c>
      <c r="B167" s="26" t="s">
        <v>135</v>
      </c>
      <c r="C167" s="37" t="str">
        <f>VLOOKUP(B167,'Composição dos serv'!A:I,3,FALSE)</f>
        <v>Parede em Alvenaria - usar área construida</v>
      </c>
      <c r="D167" s="26" t="str">
        <f>VLOOKUP(B167,'Composição dos serv'!A:I,4,FALSE)</f>
        <v>m²</v>
      </c>
      <c r="E167" s="49">
        <v>399</v>
      </c>
      <c r="F167" s="37">
        <f>ROUNDUP(E167*0.8,2)</f>
        <v>319.2</v>
      </c>
      <c r="G167" s="38">
        <f>SUMIF('Composição dos serv'!A:A,B167,'Composição dos serv'!I:I)</f>
        <v>0</v>
      </c>
      <c r="H167" s="38">
        <f t="shared" ref="H167:H169" si="44">E167*G167</f>
        <v>0</v>
      </c>
      <c r="I167" s="24"/>
      <c r="J167" s="24"/>
      <c r="K167" s="39">
        <f>SUMIF('Composição dos serv'!A:A,B167,'Composição dos serv'!K:K)</f>
        <v>0.15000000000000002</v>
      </c>
      <c r="L167" s="40">
        <f t="shared" si="40"/>
        <v>60</v>
      </c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4.25" hidden="1" customHeight="1">
      <c r="A168" s="26" t="str">
        <f>A166</f>
        <v>D27.4</v>
      </c>
      <c r="B168" s="26" t="s">
        <v>143</v>
      </c>
      <c r="C168" s="37" t="str">
        <f>VLOOKUP(B168,'Composição dos serv'!A:I,3,FALSE)</f>
        <v>Parede em Madeirite - Chapas de madeira compensada ou aglomerada - área construída</v>
      </c>
      <c r="D168" s="26" t="str">
        <f>VLOOKUP(B168,'Composição dos serv'!A:I,4,FALSE)</f>
        <v>m²</v>
      </c>
      <c r="E168" s="37"/>
      <c r="F168" s="37">
        <f>ROUNDUP(E168*0.21,2)</f>
        <v>0</v>
      </c>
      <c r="G168" s="38">
        <f>SUMIF('Composição dos serv'!A:A,B168,'Composição dos serv'!I:I)</f>
        <v>0</v>
      </c>
      <c r="H168" s="38">
        <f t="shared" si="44"/>
        <v>0</v>
      </c>
      <c r="I168" s="24"/>
      <c r="J168" s="24"/>
      <c r="K168" s="39">
        <f>SUMIF('Composição dos serv'!A:A,B168,'Composição dos serv'!K:K)</f>
        <v>0.15000000000000002</v>
      </c>
      <c r="L168" s="40">
        <f t="shared" si="40"/>
        <v>0</v>
      </c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4.25" hidden="1" customHeight="1">
      <c r="A169" s="26" t="str">
        <f>A166</f>
        <v>D27.4</v>
      </c>
      <c r="B169" s="26" t="s">
        <v>145</v>
      </c>
      <c r="C169" s="37" t="str">
        <f>VLOOKUP(B169,'Composição dos serv'!A:I,3,FALSE)</f>
        <v>Parede em Lambril de madeira - área construída</v>
      </c>
      <c r="D169" s="26" t="str">
        <f>VLOOKUP(B169,'Composição dos serv'!A:I,4,FALSE)</f>
        <v>m²</v>
      </c>
      <c r="E169" s="37"/>
      <c r="F169" s="37">
        <f>ROUNDUP(E169*4*0.12,2)</f>
        <v>0</v>
      </c>
      <c r="G169" s="38">
        <f>SUMIF('Composição dos serv'!A:A,B169,'Composição dos serv'!I:I)</f>
        <v>0</v>
      </c>
      <c r="H169" s="38">
        <f t="shared" si="44"/>
        <v>0</v>
      </c>
      <c r="I169" s="24"/>
      <c r="J169" s="24"/>
      <c r="K169" s="39">
        <f>SUMIF('Composição dos serv'!A:A,B169,'Composição dos serv'!K:K)</f>
        <v>0.35000000000000009</v>
      </c>
      <c r="L169" s="40">
        <f t="shared" si="40"/>
        <v>0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4.25" customHeight="1">
      <c r="A170" s="33" t="str">
        <f>CONCATENATE(A151,".5")</f>
        <v>D27.5</v>
      </c>
      <c r="B170" s="33" t="s">
        <v>153</v>
      </c>
      <c r="C170" s="34" t="str">
        <f>VLOOKUP(B170,'Composição dos serv'!A:I,3,FALSE)</f>
        <v>PISO E FUNDAÇÃO</v>
      </c>
      <c r="D170" s="35"/>
      <c r="E170" s="35"/>
      <c r="F170" s="35"/>
      <c r="G170" s="35"/>
      <c r="H170" s="36"/>
      <c r="I170" s="24"/>
      <c r="J170" s="24"/>
      <c r="K170" s="39">
        <f>SUMIF('Composição dos serv'!A:A,B170,'Composição dos serv'!K:K)</f>
        <v>0</v>
      </c>
      <c r="L170" s="40">
        <f t="shared" si="40"/>
        <v>0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4.25" hidden="1" customHeight="1">
      <c r="A171" s="26" t="str">
        <f>A170</f>
        <v>D27.5</v>
      </c>
      <c r="B171" s="26" t="s">
        <v>155</v>
      </c>
      <c r="C171" s="37" t="str">
        <f>VLOOKUP(B171,'Composição dos serv'!A:I,3,FALSE)</f>
        <v>Piso da edificação com fundação</v>
      </c>
      <c r="D171" s="26" t="str">
        <f>VLOOKUP(B171,'Composição dos serv'!A:I,4,FALSE)</f>
        <v>m²</v>
      </c>
      <c r="E171" s="37"/>
      <c r="F171" s="37">
        <f>ROUNDUP(E171*0.24,2)</f>
        <v>0</v>
      </c>
      <c r="G171" s="38">
        <f>SUMIF('Composição dos serv'!A:A,B171,'Composição dos serv'!I:I)</f>
        <v>0</v>
      </c>
      <c r="H171" s="38">
        <f>E171*G171</f>
        <v>0</v>
      </c>
      <c r="I171" s="24"/>
      <c r="J171" s="24"/>
      <c r="K171" s="39">
        <f>SUMIF('Composição dos serv'!A:A,B171,'Composição dos serv'!K:K)</f>
        <v>0.17</v>
      </c>
      <c r="L171" s="40">
        <f t="shared" si="40"/>
        <v>0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14.25" customHeight="1">
      <c r="A172" s="33" t="str">
        <f>CONCATENATE(A151,".6")</f>
        <v>D27.6</v>
      </c>
      <c r="B172" s="33" t="s">
        <v>161</v>
      </c>
      <c r="C172" s="48" t="str">
        <f>VLOOKUP(B172,'Composição dos serv'!A:I,3,FALSE)</f>
        <v>ESTRUTURAS DIVERSAS</v>
      </c>
      <c r="D172" s="48"/>
      <c r="E172" s="48"/>
      <c r="F172" s="48"/>
      <c r="G172" s="48"/>
      <c r="H172" s="48"/>
      <c r="I172" s="24"/>
      <c r="J172" s="24"/>
      <c r="K172" s="39">
        <f>SUMIF('Composição dos serv'!A:A,B172,'Composição dos serv'!K:K)</f>
        <v>0</v>
      </c>
      <c r="L172" s="40">
        <f t="shared" si="40"/>
        <v>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4.25" hidden="1" customHeight="1">
      <c r="A173" s="26" t="str">
        <f>A172</f>
        <v>D27.6</v>
      </c>
      <c r="B173" s="26" t="s">
        <v>163</v>
      </c>
      <c r="C173" s="37" t="str">
        <f>VLOOKUP(B173,'Composição dos serv'!A:I,3,FALSE)</f>
        <v>Escada em concreto com corrimão</v>
      </c>
      <c r="D173" s="26" t="str">
        <f>VLOOKUP(B173,'Composição dos serv'!A:I,4,FALSE)</f>
        <v>m</v>
      </c>
      <c r="E173" s="49"/>
      <c r="F173" s="37">
        <f>ROUNDUP(E173*1.2*0.25,2)</f>
        <v>0</v>
      </c>
      <c r="G173" s="38">
        <f>SUMIF('Composição dos serv'!A:A,'PESM Itutinga Piloes pt2'!B173,'Composição dos serv'!I:I)</f>
        <v>0</v>
      </c>
      <c r="H173" s="38">
        <f t="shared" ref="H173:H176" si="45">E173*G173</f>
        <v>0</v>
      </c>
      <c r="I173" s="24"/>
      <c r="J173" s="24"/>
      <c r="K173" s="39">
        <f>SUMIF('Composição dos serv'!A:A,B173,'Composição dos serv'!K:K)</f>
        <v>0.39</v>
      </c>
      <c r="L173" s="40">
        <f t="shared" si="40"/>
        <v>0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4.25" customHeight="1">
      <c r="A174" s="26" t="str">
        <f>A172</f>
        <v>D27.6</v>
      </c>
      <c r="B174" s="26" t="s">
        <v>169</v>
      </c>
      <c r="C174" s="37" t="str">
        <f>VLOOKUP(B174,'Composição dos serv'!A:I,3,FALSE)</f>
        <v>Entrada de Energia - medidor</v>
      </c>
      <c r="D174" s="26" t="str">
        <f>VLOOKUP(B174,'Composição dos serv'!A:I,4,FALSE)</f>
        <v>un</v>
      </c>
      <c r="E174" s="37">
        <v>1</v>
      </c>
      <c r="F174" s="37">
        <f>ROUNDUP(E174*(3.2+(((3.1415*0.4^2)/4)*6)),2)</f>
        <v>3.96</v>
      </c>
      <c r="G174" s="38">
        <f>SUMIF('Composição dos serv'!A:A,'PESM Itutinga Piloes pt2'!B174,'Composição dos serv'!I:I)</f>
        <v>0</v>
      </c>
      <c r="H174" s="38">
        <f t="shared" si="45"/>
        <v>0</v>
      </c>
      <c r="I174" s="24"/>
      <c r="J174" s="24"/>
      <c r="K174" s="39">
        <f>SUMIF('Composição dos serv'!A:A,B174,'Composição dos serv'!K:K)</f>
        <v>1.7600000000000002</v>
      </c>
      <c r="L174" s="40">
        <f t="shared" si="40"/>
        <v>2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4.25" customHeight="1">
      <c r="A175" s="26" t="str">
        <f>A172</f>
        <v>D27.6</v>
      </c>
      <c r="B175" s="26" t="s">
        <v>183</v>
      </c>
      <c r="C175" s="37" t="str">
        <f>VLOOKUP(B175,'Composição dos serv'!A:I,3,FALSE)</f>
        <v>Hidrômetro com abrigo</v>
      </c>
      <c r="D175" s="26" t="str">
        <f>VLOOKUP(B175,'Composição dos serv'!A:I,4,FALSE)</f>
        <v>un</v>
      </c>
      <c r="E175" s="37">
        <v>1</v>
      </c>
      <c r="F175" s="37">
        <f>ROUNDUP(E175*(1.7+0.1),2)</f>
        <v>1.8</v>
      </c>
      <c r="G175" s="38">
        <f>SUMIF('Composição dos serv'!A:A,'PESM Itutinga Piloes pt2'!B175,'Composição dos serv'!I:I)</f>
        <v>0</v>
      </c>
      <c r="H175" s="38">
        <f t="shared" si="45"/>
        <v>0</v>
      </c>
      <c r="I175" s="24"/>
      <c r="J175" s="24"/>
      <c r="K175" s="39">
        <f>SUMIF('Composição dos serv'!A:A,B175,'Composição dos serv'!K:K)</f>
        <v>0.44000000000000006</v>
      </c>
      <c r="L175" s="40">
        <f t="shared" si="40"/>
        <v>1</v>
      </c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4.25" customHeight="1">
      <c r="A176" s="26" t="str">
        <f>A174</f>
        <v>D27.6</v>
      </c>
      <c r="B176" s="26" t="s">
        <v>191</v>
      </c>
      <c r="C176" s="37" t="str">
        <f>VLOOKUP(B176,'Composição dos serv'!A:I,3,FALSE)</f>
        <v>Aterro de Fossa com retirada de tampa</v>
      </c>
      <c r="D176" s="26" t="str">
        <f>VLOOKUP(B176,'Composição dos serv'!A:I,4,FALSE)</f>
        <v>un</v>
      </c>
      <c r="E176" s="37">
        <v>1</v>
      </c>
      <c r="F176" s="37">
        <f>ROUNDUP(E176*(0.4),2)</f>
        <v>0.4</v>
      </c>
      <c r="G176" s="38">
        <f>SUMIF('Composição dos serv'!A:A,'PESM Itutinga Piloes pt2'!B176,'Composição dos serv'!I:I)</f>
        <v>0</v>
      </c>
      <c r="H176" s="38">
        <f t="shared" si="45"/>
        <v>0</v>
      </c>
      <c r="I176" s="24"/>
      <c r="J176" s="24"/>
      <c r="K176" s="39">
        <f>SUMIF('Composição dos serv'!A:A,B176,'Composição dos serv'!K:K)</f>
        <v>0.85000000000000009</v>
      </c>
      <c r="L176" s="40">
        <f t="shared" si="40"/>
        <v>1</v>
      </c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4.25" customHeight="1">
      <c r="A177" s="33" t="str">
        <f>CONCATENATE(A151,".7")</f>
        <v>D27.7</v>
      </c>
      <c r="B177" s="33" t="s">
        <v>195</v>
      </c>
      <c r="C177" s="48" t="str">
        <f>VLOOKUP(B177,'Composição dos serv'!A:I,3,FALSE)</f>
        <v>ACABAMENTOS DIVERSOS e OUTROS</v>
      </c>
      <c r="D177" s="48"/>
      <c r="E177" s="48"/>
      <c r="F177" s="48"/>
      <c r="G177" s="48"/>
      <c r="H177" s="48"/>
      <c r="I177" s="24"/>
      <c r="J177" s="24"/>
      <c r="K177" s="39">
        <f>SUMIF('Composição dos serv'!A:A,B177,'Composição dos serv'!K:K)</f>
        <v>0</v>
      </c>
      <c r="L177" s="40">
        <f t="shared" si="40"/>
        <v>0</v>
      </c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4.25" customHeight="1">
      <c r="A178" s="26" t="str">
        <f>A177</f>
        <v>D27.7</v>
      </c>
      <c r="B178" s="50" t="s">
        <v>197</v>
      </c>
      <c r="C178" s="49" t="str">
        <f>VLOOKUP(B178,'Composição dos serv'!A:I,3,FALSE)</f>
        <v>Remoção de aparelhos sanitarios - por banheiro</v>
      </c>
      <c r="D178" s="50" t="str">
        <f>VLOOKUP(B178,'Composição dos serv'!A:I,4,FALSE)</f>
        <v>unid</v>
      </c>
      <c r="E178" s="49">
        <v>2</v>
      </c>
      <c r="F178" s="37">
        <f t="shared" ref="F178:F180" si="46">ROUNDUP(E178*1,2)</f>
        <v>2</v>
      </c>
      <c r="G178" s="51">
        <f>SUMIF('Composição dos serv'!A:A,B178,'Composição dos serv'!I:I)</f>
        <v>0</v>
      </c>
      <c r="H178" s="51">
        <f t="shared" ref="H178:H184" si="47">E178*G178</f>
        <v>0</v>
      </c>
      <c r="I178" s="24"/>
      <c r="J178" s="24"/>
      <c r="K178" s="39">
        <f>SUMIF('Composição dos serv'!A:A,B178,'Composição dos serv'!K:K)</f>
        <v>0.19</v>
      </c>
      <c r="L178" s="40">
        <f t="shared" si="40"/>
        <v>1</v>
      </c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4.25" customHeight="1">
      <c r="A179" s="26" t="str">
        <f>A177</f>
        <v>D27.7</v>
      </c>
      <c r="B179" s="50" t="s">
        <v>209</v>
      </c>
      <c r="C179" s="37" t="str">
        <f>VLOOKUP(B179,'Composição dos serv'!A:I,3,FALSE)</f>
        <v>Remoção de aparelhos sanitarios - Cozinha e Área de Serviço</v>
      </c>
      <c r="D179" s="26" t="str">
        <f>VLOOKUP(B179,'Composição dos serv'!A:I,4,FALSE)</f>
        <v>unid</v>
      </c>
      <c r="E179" s="37">
        <v>2</v>
      </c>
      <c r="F179" s="37">
        <f t="shared" si="46"/>
        <v>2</v>
      </c>
      <c r="G179" s="51">
        <f>SUMIF('Composição dos serv'!A:A,B179,'Composição dos serv'!I:I)</f>
        <v>0</v>
      </c>
      <c r="H179" s="38">
        <f t="shared" si="47"/>
        <v>0</v>
      </c>
      <c r="I179" s="24"/>
      <c r="J179" s="24"/>
      <c r="K179" s="39">
        <f>SUMIF('Composição dos serv'!A:A,B179,'Composição dos serv'!K:K)</f>
        <v>0.21</v>
      </c>
      <c r="L179" s="40">
        <f t="shared" si="40"/>
        <v>1</v>
      </c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4.25" hidden="1" customHeight="1">
      <c r="A180" s="26" t="str">
        <f>A177</f>
        <v>D27.7</v>
      </c>
      <c r="B180" s="50" t="s">
        <v>215</v>
      </c>
      <c r="C180" s="37" t="str">
        <f>VLOOKUP(B180,'Composição dos serv'!A:I,3,FALSE)</f>
        <v>Remoção de caixa d'agua</v>
      </c>
      <c r="D180" s="26" t="str">
        <f>VLOOKUP(B180,'Composição dos serv'!A:I,4,FALSE)</f>
        <v>unid</v>
      </c>
      <c r="E180" s="37"/>
      <c r="F180" s="37">
        <f t="shared" si="46"/>
        <v>0</v>
      </c>
      <c r="G180" s="51">
        <f>SUMIF('Composição dos serv'!A:A,B180,'Composição dos serv'!I:I)</f>
        <v>0</v>
      </c>
      <c r="H180" s="38">
        <f t="shared" si="47"/>
        <v>0</v>
      </c>
      <c r="I180" s="24"/>
      <c r="J180" s="24"/>
      <c r="K180" s="39">
        <f>SUMIF('Composição dos serv'!A:A,B180,'Composição dos serv'!K:K)</f>
        <v>0.42000000000000004</v>
      </c>
      <c r="L180" s="40">
        <f t="shared" si="40"/>
        <v>0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4.25" hidden="1" customHeight="1">
      <c r="A181" s="26" t="str">
        <f>A177</f>
        <v>D27.7</v>
      </c>
      <c r="B181" s="50" t="s">
        <v>219</v>
      </c>
      <c r="C181" s="37" t="str">
        <f>VLOOKUP(B181,'Composição dos serv'!A:I,3,FALSE)</f>
        <v>Remoção do Sistema de Para raios - área do telhado</v>
      </c>
      <c r="D181" s="26" t="str">
        <f>VLOOKUP(B181,'Composição dos serv'!A:I,4,FALSE)</f>
        <v>m²</v>
      </c>
      <c r="E181" s="37"/>
      <c r="F181" s="37">
        <f>ROUNDUP(E181/60,2)</f>
        <v>0</v>
      </c>
      <c r="G181" s="51">
        <f>SUMIF('Composição dos serv'!A:A,B181,'Composição dos serv'!I:I)</f>
        <v>0</v>
      </c>
      <c r="H181" s="38">
        <f t="shared" si="47"/>
        <v>0</v>
      </c>
      <c r="I181" s="24"/>
      <c r="J181" s="24"/>
      <c r="K181" s="39">
        <f>SUMIF('Composição dos serv'!A:A,B181,'Composição dos serv'!K:K)</f>
        <v>0.05</v>
      </c>
      <c r="L181" s="40">
        <f t="shared" si="40"/>
        <v>0</v>
      </c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4.25" customHeight="1">
      <c r="A182" s="26" t="str">
        <f>A177</f>
        <v>D27.7</v>
      </c>
      <c r="B182" s="50" t="s">
        <v>227</v>
      </c>
      <c r="C182" s="37" t="str">
        <f>VLOOKUP(B182,'Composição dos serv'!A:I,3,FALSE)</f>
        <v>Janelas</v>
      </c>
      <c r="D182" s="26" t="str">
        <f>VLOOKUP(B182,'Composição dos serv'!A:I,4,FALSE)</f>
        <v>un</v>
      </c>
      <c r="E182" s="37">
        <v>6</v>
      </c>
      <c r="F182" s="37">
        <f>ROUNDUP(E182*1.5*1.2*0.2,2)</f>
        <v>2.16</v>
      </c>
      <c r="G182" s="51">
        <f>SUMIF('Composição dos serv'!A:A,B182,'Composição dos serv'!I:I)</f>
        <v>0</v>
      </c>
      <c r="H182" s="38">
        <f t="shared" si="47"/>
        <v>0</v>
      </c>
      <c r="I182" s="24"/>
      <c r="J182" s="24"/>
      <c r="K182" s="39">
        <f>SUMIF('Composição dos serv'!A:A,B182,'Composição dos serv'!K:K)</f>
        <v>0</v>
      </c>
      <c r="L182" s="40">
        <f t="shared" si="40"/>
        <v>0</v>
      </c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4.25" customHeight="1">
      <c r="A183" s="26" t="str">
        <f>A177</f>
        <v>D27.7</v>
      </c>
      <c r="B183" s="50" t="s">
        <v>234</v>
      </c>
      <c r="C183" s="37" t="str">
        <f>VLOOKUP(B183,'Composição dos serv'!A:I,3,FALSE)</f>
        <v>Portas</v>
      </c>
      <c r="D183" s="26" t="str">
        <f>VLOOKUP(B183,'Composição dos serv'!A:I,4,FALSE)</f>
        <v>un</v>
      </c>
      <c r="E183" s="37">
        <v>2</v>
      </c>
      <c r="F183" s="37">
        <f>ROUNDUP(E183*2.1*0.9*0.2,2)</f>
        <v>0.76</v>
      </c>
      <c r="G183" s="51">
        <f>SUMIF('Composição dos serv'!A:A,B183,'Composição dos serv'!I:I)</f>
        <v>0</v>
      </c>
      <c r="H183" s="38">
        <f t="shared" si="47"/>
        <v>0</v>
      </c>
      <c r="I183" s="24"/>
      <c r="J183" s="24"/>
      <c r="K183" s="39">
        <f>SUMIF('Composição dos serv'!A:A,B183,'Composição dos serv'!K:K)</f>
        <v>0</v>
      </c>
      <c r="L183" s="40">
        <f t="shared" si="40"/>
        <v>0</v>
      </c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14.25" hidden="1" customHeight="1">
      <c r="A184" s="26" t="str">
        <f>A177</f>
        <v>D27.7</v>
      </c>
      <c r="B184" s="50" t="s">
        <v>236</v>
      </c>
      <c r="C184" s="37" t="str">
        <f>VLOOKUP(B184,'Composição dos serv'!A:I,3,FALSE)</f>
        <v>Guarda corpo de metal</v>
      </c>
      <c r="D184" s="26" t="str">
        <f>VLOOKUP(B184,'Composição dos serv'!A:I,4,FALSE)</f>
        <v>m</v>
      </c>
      <c r="E184" s="37"/>
      <c r="F184" s="37">
        <f>ROUNDUP(E184*1.7*0.05,2)</f>
        <v>0</v>
      </c>
      <c r="G184" s="51">
        <f>SUMIF('Composição dos serv'!A:A,B184,'Composição dos serv'!I:I)</f>
        <v>0</v>
      </c>
      <c r="H184" s="38">
        <f t="shared" si="47"/>
        <v>0</v>
      </c>
      <c r="I184" s="24"/>
      <c r="J184" s="24"/>
      <c r="K184" s="39">
        <f>SUMIF('Composição dos serv'!A:A,B184,'Composição dos serv'!K:K)</f>
        <v>0</v>
      </c>
      <c r="L184" s="40">
        <f t="shared" si="40"/>
        <v>0</v>
      </c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4.25" customHeight="1">
      <c r="A185" s="33" t="str">
        <f>CONCATENATE(A151,".8")</f>
        <v>D27.8</v>
      </c>
      <c r="B185" s="33" t="s">
        <v>240</v>
      </c>
      <c r="C185" s="48" t="str">
        <f>VLOOKUP(B185,'Composição dos serv'!A:I,3,FALSE)</f>
        <v>ENTULHO</v>
      </c>
      <c r="D185" s="48"/>
      <c r="E185" s="48"/>
      <c r="F185" s="48"/>
      <c r="G185" s="48"/>
      <c r="H185" s="48"/>
      <c r="I185" s="24"/>
      <c r="J185" s="24"/>
      <c r="K185" s="39">
        <f>SUMIF('Composição dos serv'!A:A,B185,'Composição dos serv'!K:K)</f>
        <v>0</v>
      </c>
      <c r="L185" s="40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4.25" hidden="1" customHeight="1">
      <c r="A186" s="26" t="str">
        <f>A185</f>
        <v>D27.8</v>
      </c>
      <c r="B186" s="50" t="s">
        <v>242</v>
      </c>
      <c r="C186" s="49" t="str">
        <f>VLOOKUP(B186,'Composição dos serv'!A:I,3,FALSE)</f>
        <v>Transporte e espalhamento Manual do entulho a ser reutilizado</v>
      </c>
      <c r="D186" s="50" t="s">
        <v>291</v>
      </c>
      <c r="E186" s="49"/>
      <c r="F186" s="52">
        <f>IF(E186=1,ROUNDUP((IF(E154&lt;&gt;"",F154,0)+IF(E155&lt;&gt;"",F155,0)+IF(E157&lt;&gt;"",F157,0)+IF(E158&lt;&gt;"",F158*0.34,0)+IF(E161&lt;&gt;"",F161*0.43,0)+IF(E164&lt;&gt;"",F164*0.8,0)+IF(E167&lt;&gt;"",F167*(0.78),0)+IF(E171&lt;&gt;"",F171*0.98,0)+IF(E173&lt;&gt;"",F173*0.91,0)+IF(E174&lt;&gt;"",F174*0.26,0)+IF(E175&lt;&gt;"",F175*0.24,0)+IF(E176&lt;&gt;"",F176,0)),2),0)</f>
        <v>0</v>
      </c>
      <c r="G186" s="51">
        <f>SUMIF('Composição dos serv'!A:A,B186,'Composição dos serv'!I:I)</f>
        <v>0</v>
      </c>
      <c r="H186" s="51">
        <f t="shared" ref="H186:H187" si="48">F186*G186</f>
        <v>0</v>
      </c>
      <c r="I186" s="24"/>
      <c r="J186" s="24"/>
      <c r="K186" s="39">
        <f>SUMIF('Composição dos serv'!A:A,B186,'Composição dos serv'!K:K)</f>
        <v>0.15000000000000002</v>
      </c>
      <c r="L186" s="40">
        <f t="shared" ref="L186:L189" si="49">ROUNDUP(K186*F186,0)</f>
        <v>0</v>
      </c>
      <c r="M186" s="45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4.25" hidden="1" customHeight="1">
      <c r="A187" s="26" t="str">
        <f>A185</f>
        <v>D27.8</v>
      </c>
      <c r="B187" s="50" t="s">
        <v>246</v>
      </c>
      <c r="C187" s="49" t="str">
        <f>VLOOKUP(B187,'Composição dos serv'!A:I,3,FALSE)</f>
        <v>Remoção e Transporte Mecanizado do entulho a ser reutilizado</v>
      </c>
      <c r="D187" s="50" t="s">
        <v>291</v>
      </c>
      <c r="E187" s="49"/>
      <c r="F187" s="52">
        <f>IF(E187=1,SUM(F154:F184)-H191,0)</f>
        <v>0</v>
      </c>
      <c r="G187" s="51">
        <f>SUMIF('Composição dos serv'!A:A,B187,'Composição dos serv'!I:I)</f>
        <v>0</v>
      </c>
      <c r="H187" s="51">
        <f t="shared" si="48"/>
        <v>0</v>
      </c>
      <c r="I187" s="24"/>
      <c r="J187" s="24"/>
      <c r="K187" s="39">
        <f>SUMIF('Composição dos serv'!A:A,B187,'Composição dos serv'!K:K)</f>
        <v>0.02</v>
      </c>
      <c r="L187" s="40">
        <f t="shared" si="49"/>
        <v>0</v>
      </c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14.25" hidden="1" customHeight="1">
      <c r="A188" s="26" t="str">
        <f>A185</f>
        <v>D27.8</v>
      </c>
      <c r="B188" s="50" t="s">
        <v>252</v>
      </c>
      <c r="C188" s="49" t="str">
        <f>VLOOKUP(B188,'Composição dos serv'!A:I,3,FALSE)</f>
        <v>Remoção do entulho com caçamba</v>
      </c>
      <c r="D188" s="50" t="s">
        <v>291</v>
      </c>
      <c r="E188" s="49"/>
      <c r="F188" s="52">
        <f>IF(E188=1,SUM(F154:F184),0)</f>
        <v>0</v>
      </c>
      <c r="G188" s="51">
        <f>SUMIF('Composição dos serv'!A:A,B188,'Composição dos serv'!I:I)</f>
        <v>0</v>
      </c>
      <c r="H188" s="51">
        <f>IF(E188&gt;1,"OPÇÃO ERRADA",F188*G188)+IF(G191=1,H191*G188,0)</f>
        <v>0</v>
      </c>
      <c r="I188" s="24"/>
      <c r="J188" s="24"/>
      <c r="K188" s="39">
        <f>SUMIF('Composição dos serv'!A:A,B188,'Composição dos serv'!K:K)</f>
        <v>0.02</v>
      </c>
      <c r="L188" s="40">
        <f t="shared" si="49"/>
        <v>0</v>
      </c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4.25" customHeight="1">
      <c r="A189" s="26" t="str">
        <f>A185</f>
        <v>D27.8</v>
      </c>
      <c r="B189" s="50" t="s">
        <v>256</v>
      </c>
      <c r="C189" s="49" t="str">
        <f>VLOOKUP(B189,'Composição dos serv'!A:I,3,FALSE)</f>
        <v>Remoção e Transporte Mecanizado do entulho para bota fora</v>
      </c>
      <c r="D189" s="50" t="s">
        <v>291</v>
      </c>
      <c r="E189" s="49">
        <v>1</v>
      </c>
      <c r="F189" s="52">
        <f>IF(E189=1,SUM(F154:F184),0)</f>
        <v>442.08</v>
      </c>
      <c r="G189" s="51">
        <f>SUMIF('Composição dos serv'!A:A,B189,'Composição dos serv'!I:I)</f>
        <v>0</v>
      </c>
      <c r="H189" s="51">
        <f>IF(E189&gt;1,"OPÇÃO ERRADA",F189*G189)+IF(G191=2,H191*G189,0)</f>
        <v>0</v>
      </c>
      <c r="I189" s="24"/>
      <c r="J189" s="24"/>
      <c r="K189" s="39">
        <f>SUMIF('Composição dos serv'!A:A,B189,'Composição dos serv'!K:K)</f>
        <v>7.9999999999999988E-2</v>
      </c>
      <c r="L189" s="40">
        <f t="shared" si="49"/>
        <v>36</v>
      </c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4.25" customHeight="1">
      <c r="A190" s="26" t="str">
        <f>A185</f>
        <v>D27.8</v>
      </c>
      <c r="B190" s="50" t="s">
        <v>264</v>
      </c>
      <c r="C190" s="49" t="str">
        <f>VLOOKUP(B190,'Composição dos serv'!A:I,3,FALSE)</f>
        <v>Remoção de telhas em cimento amianto</v>
      </c>
      <c r="D190" s="26" t="str">
        <f>VLOOKUP(B190,'Composição dos serv'!A:I,4,FALSE)</f>
        <v>m²</v>
      </c>
      <c r="E190" s="49">
        <f>SUM(E162:E163)</f>
        <v>399</v>
      </c>
      <c r="F190" s="52"/>
      <c r="G190" s="51">
        <f>SUMIF('Composição dos serv'!A:A,B190,'Composição dos serv'!I:I)</f>
        <v>0</v>
      </c>
      <c r="H190" s="51">
        <f>G190*E190</f>
        <v>0</v>
      </c>
      <c r="I190" s="24"/>
      <c r="J190" s="24"/>
      <c r="K190" s="39"/>
      <c r="L190" s="40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4.25" customHeight="1">
      <c r="A191" s="53"/>
      <c r="B191" s="53"/>
      <c r="C191" s="37" t="str">
        <f>IF(E188&lt;&gt;1,IF(E189&lt;&gt;1,IF(H191&lt;&gt;0,"Há Material não reutilizavel qual a destinação para ele?",""),""),"")</f>
        <v/>
      </c>
      <c r="D191" s="168" t="str">
        <f>IF(E188&lt;&gt;1,IF(E189&lt;&gt;1,IF(H191&lt;&gt;0,"Caçamba = 1; Aterro = 2",""),""),"")</f>
        <v/>
      </c>
      <c r="E191" s="169"/>
      <c r="F191" s="170"/>
      <c r="G191" s="37"/>
      <c r="H191" s="54">
        <f>IF(E188=1,0,IF(E189=1,0,ROUNDUP((IF(E158&lt;&gt;"",F158*0.66,0)+IF(E161&lt;&gt;"",F161*0.57,0)+IF(E163&lt;&gt;"",F163,0)+IF(E164&lt;&gt;"",F164*0.2,0)+IF(E165&lt;&gt;"",F165,0)+IF(E167&lt;&gt;"",F167*0.22,0)+IF(E168&lt;&gt;"",F168,0)+IF(E169&lt;&gt;"",F169,0)+IF(E171&lt;&gt;"",F171*0.02,0)+IF(E173&lt;&gt;"",F173*0.09,0)+IF(E174&lt;&gt;"",F174*0.74,0)+IF(E175&lt;&gt;"",F175*(1-0.24),0)+IF(E178&lt;&gt;"",F178,0)+IF(E179&lt;&gt;"",F179,0)+IF(E180&lt;&gt;"",F180,0)+IF(E181&lt;&gt;"",F181,0)+IF(E182&lt;&gt;"",F182,0)+IF(E183&lt;&gt;"",F183,0)+IF(E184&lt;&gt;"",F184,0)+IF(E162&lt;&gt;"",F162,0)+IF(E160&lt;&gt;"",F160,0)),2)))</f>
        <v>0</v>
      </c>
      <c r="I191" s="24"/>
      <c r="J191" s="24"/>
      <c r="K191" s="39"/>
      <c r="L191" s="40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27" hidden="1" customHeight="1">
      <c r="I192" s="24"/>
      <c r="J192" s="24"/>
      <c r="K192" s="39">
        <f>SUMIF('Composição dos serv'!A:A,'PESM Itutinga Piloes pt2'!B192,'Composição dos serv'!K:K)</f>
        <v>0</v>
      </c>
      <c r="L192" s="40">
        <f>ROUNDUP(K192*E192,0)</f>
        <v>0</v>
      </c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4.25" customHeight="1">
      <c r="A193" s="68" t="str">
        <f>A151</f>
        <v>D27</v>
      </c>
      <c r="B193" s="193" t="str">
        <f>C151</f>
        <v>EDIFICAÇÃO 19 - Gleba D27</v>
      </c>
      <c r="C193" s="169"/>
      <c r="D193" s="194" t="s">
        <v>280</v>
      </c>
      <c r="E193" s="169"/>
      <c r="F193" s="169"/>
      <c r="G193" s="70">
        <f>SUM(H154:H190)</f>
        <v>0</v>
      </c>
      <c r="H193" s="71"/>
      <c r="I193" s="24"/>
      <c r="J193" s="24"/>
      <c r="K193" s="39">
        <f>IF(SUM(L186:L189)&gt;SUM(L154:L184),SUM(L186:L189),SUM(L154:L184))</f>
        <v>113</v>
      </c>
      <c r="L193" s="40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9.75" customHeight="1">
      <c r="A194" s="66"/>
      <c r="B194" s="53"/>
      <c r="D194" s="53"/>
      <c r="G194" s="67"/>
      <c r="H194" s="67"/>
      <c r="I194" s="24"/>
      <c r="J194" s="24"/>
      <c r="K194" s="39">
        <f>SUMIF('Composição dos serv'!A:A,'PESM Itutinga Piloes pt2'!B194,'Composição dos serv'!K:K)</f>
        <v>0</v>
      </c>
      <c r="L194" s="40">
        <f t="shared" ref="L194:L196" si="50">ROUNDUP(K194*E194,0)</f>
        <v>0</v>
      </c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9.5" customHeight="1">
      <c r="A195" s="72" t="s">
        <v>337</v>
      </c>
      <c r="B195" s="72">
        <v>2</v>
      </c>
      <c r="C195" s="73" t="s">
        <v>338</v>
      </c>
      <c r="D195" s="73"/>
      <c r="E195" s="73"/>
      <c r="F195" s="73"/>
      <c r="G195" s="73"/>
      <c r="H195" s="73"/>
      <c r="I195" s="24"/>
      <c r="J195" s="24"/>
      <c r="K195" s="39">
        <f>SUMIF('Composição dos serv'!A:A,'PESM Itutinga Piloes pt2'!B195,'Composição dos serv'!K:K)</f>
        <v>0</v>
      </c>
      <c r="L195" s="40">
        <f t="shared" si="50"/>
        <v>0</v>
      </c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6" hidden="1" customHeight="1">
      <c r="A196" s="26"/>
      <c r="B196" s="66"/>
      <c r="C196" s="66"/>
      <c r="D196" s="66"/>
      <c r="E196" s="66"/>
      <c r="F196" s="66"/>
      <c r="G196" s="66"/>
      <c r="H196" s="66"/>
      <c r="I196" s="24"/>
      <c r="J196" s="24"/>
      <c r="K196" s="39">
        <f>SUMIF('Composição dos serv'!A:A,'PESM Itutinga Piloes pt2'!B196,'Composição dos serv'!K:K)</f>
        <v>0</v>
      </c>
      <c r="L196" s="40">
        <f t="shared" si="50"/>
        <v>0</v>
      </c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14.25" customHeight="1">
      <c r="A197" s="33" t="str">
        <f>CONCATENATE(A195,".1")</f>
        <v>D31.1</v>
      </c>
      <c r="B197" s="33" t="s">
        <v>67</v>
      </c>
      <c r="C197" s="48" t="str">
        <f>VLOOKUP(B197,'Composição dos serv'!A:I,3,FALSE)</f>
        <v>DEMOLIÇÃO DE CALÇADAS E/OU CAMINHOS</v>
      </c>
      <c r="D197" s="48"/>
      <c r="E197" s="48"/>
      <c r="F197" s="48"/>
      <c r="G197" s="48"/>
      <c r="H197" s="48"/>
      <c r="I197" s="24"/>
      <c r="J197" s="24"/>
      <c r="K197" s="31"/>
      <c r="L197" s="32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14.25" customHeight="1">
      <c r="A198" s="26" t="str">
        <f>A197</f>
        <v>D31.1</v>
      </c>
      <c r="B198" s="26" t="s">
        <v>69</v>
      </c>
      <c r="C198" s="49" t="str">
        <f>VLOOKUP(B198,'Composição dos serv'!A:I,3,FALSE)</f>
        <v>Demolição de calçada ou caminhos</v>
      </c>
      <c r="D198" s="50" t="str">
        <f>VLOOKUP(B198,'Composição dos serv'!A:I,4,FALSE)</f>
        <v>m²</v>
      </c>
      <c r="E198" s="49">
        <v>20</v>
      </c>
      <c r="F198" s="49">
        <f>ROUNDUP(E198*0.15,2)</f>
        <v>3</v>
      </c>
      <c r="G198" s="51">
        <f>SUMIF('Composição dos serv'!A:A,'PESM Itutinga Piloes pt2'!B198,'Composição dos serv'!I:I)</f>
        <v>0</v>
      </c>
      <c r="H198" s="51">
        <f t="shared" ref="H198:H199" si="51">E198*G198</f>
        <v>0</v>
      </c>
      <c r="I198" s="24"/>
      <c r="J198" s="24"/>
      <c r="K198" s="39">
        <f>SUMIF('Composição dos serv'!A:A,B198,'Composição dos serv'!K:K)</f>
        <v>0.12</v>
      </c>
      <c r="L198" s="40">
        <f t="shared" ref="L198:L228" si="52">ROUNDUP(K198*E198,0)</f>
        <v>3</v>
      </c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14.25" hidden="1" customHeight="1">
      <c r="A199" s="26" t="str">
        <f>A197</f>
        <v>D31.1</v>
      </c>
      <c r="B199" s="26" t="s">
        <v>75</v>
      </c>
      <c r="C199" s="37" t="str">
        <f>VLOOKUP(B199,'Composição dos serv'!A:I,3,FALSE)</f>
        <v>Demolição de via Asfaltada, em paralelepípedo ou intertravados</v>
      </c>
      <c r="D199" s="26" t="str">
        <f>VLOOKUP(B199,'Composição dos serv'!A:I,4,FALSE)</f>
        <v>m²</v>
      </c>
      <c r="E199" s="37"/>
      <c r="F199" s="37">
        <f>ROUNDUP(E199*0.2,2)</f>
        <v>0</v>
      </c>
      <c r="G199" s="38">
        <f>SUMIF('Composição dos serv'!A:A,'PESM Itutinga Piloes pt2'!B199,'Composição dos serv'!I:I)</f>
        <v>0</v>
      </c>
      <c r="H199" s="38">
        <f t="shared" si="51"/>
        <v>0</v>
      </c>
      <c r="I199" s="24"/>
      <c r="J199" s="24"/>
      <c r="K199" s="39">
        <f>SUMIF('Composição dos serv'!A:A,B199,'Composição dos serv'!K:K)</f>
        <v>0.06</v>
      </c>
      <c r="L199" s="40">
        <f t="shared" si="52"/>
        <v>0</v>
      </c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14.25" customHeight="1">
      <c r="A200" s="33" t="str">
        <f>CONCATENATE(A195,".2")</f>
        <v>D31.2</v>
      </c>
      <c r="B200" s="33" t="s">
        <v>85</v>
      </c>
      <c r="C200" s="34" t="str">
        <f>VLOOKUP(B200,'Composição dos serv'!A:I,3,FALSE)</f>
        <v>DEMOLIÇÃO DE MUROS E CERCAS</v>
      </c>
      <c r="D200" s="35"/>
      <c r="E200" s="35"/>
      <c r="F200" s="35"/>
      <c r="G200" s="35"/>
      <c r="H200" s="36"/>
      <c r="I200" s="24"/>
      <c r="J200" s="24"/>
      <c r="K200" s="39">
        <f>SUMIF('Composição dos serv'!A:A,B200,'Composição dos serv'!K:K)</f>
        <v>0</v>
      </c>
      <c r="L200" s="40">
        <f t="shared" si="52"/>
        <v>0</v>
      </c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14.25" customHeight="1">
      <c r="A201" s="26" t="str">
        <f>A200</f>
        <v>D31.2</v>
      </c>
      <c r="B201" s="26" t="s">
        <v>87</v>
      </c>
      <c r="C201" s="37" t="str">
        <f>VLOOKUP(B201,'Composição dos serv'!A:I,3,FALSE)</f>
        <v>Demolição de muro em alvenaria ou alambrados</v>
      </c>
      <c r="D201" s="26" t="str">
        <f>VLOOKUP(B201,'Composição dos serv'!A:I,4,FALSE)</f>
        <v>m</v>
      </c>
      <c r="E201" s="37">
        <v>100</v>
      </c>
      <c r="F201" s="37">
        <f>ROUNDUP(E201*0.2*2.4,2)</f>
        <v>48</v>
      </c>
      <c r="G201" s="38">
        <f>SUMIF('Composição dos serv'!A:A,'PESM Itutinga Piloes pt2'!B201,'Composição dos serv'!I:I)</f>
        <v>0</v>
      </c>
      <c r="H201" s="38">
        <f t="shared" ref="H201:H202" si="53">E201*G201</f>
        <v>0</v>
      </c>
      <c r="I201" s="24"/>
      <c r="J201" s="24"/>
      <c r="K201" s="39">
        <f>SUMIF('Composição dos serv'!A:A,B201,'Composição dos serv'!K:K)</f>
        <v>0.26</v>
      </c>
      <c r="L201" s="40">
        <f t="shared" si="52"/>
        <v>26</v>
      </c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14.25" customHeight="1">
      <c r="A202" s="26" t="str">
        <f>A200</f>
        <v>D31.2</v>
      </c>
      <c r="B202" s="26" t="s">
        <v>93</v>
      </c>
      <c r="C202" s="37" t="str">
        <f>VLOOKUP(B202,'Composição dos serv'!A:I,3,FALSE)</f>
        <v>Demolição de Cercas</v>
      </c>
      <c r="D202" s="26" t="str">
        <f>VLOOKUP(B202,'Composição dos serv'!A:I,4,FALSE)</f>
        <v>m</v>
      </c>
      <c r="E202" s="37">
        <v>300</v>
      </c>
      <c r="F202" s="37">
        <f>ROUNDUP(E202*0.1*1.8,2)</f>
        <v>54</v>
      </c>
      <c r="G202" s="38">
        <f>SUMIF('Composição dos serv'!A:A,'PESM Itutinga Piloes pt2'!B202,'Composição dos serv'!I:I)</f>
        <v>0</v>
      </c>
      <c r="H202" s="38">
        <f t="shared" si="53"/>
        <v>0</v>
      </c>
      <c r="I202" s="24"/>
      <c r="J202" s="24"/>
      <c r="K202" s="39">
        <f>SUMIF('Composição dos serv'!A:A,B202,'Composição dos serv'!K:K)</f>
        <v>0.06</v>
      </c>
      <c r="L202" s="40">
        <f t="shared" si="52"/>
        <v>18</v>
      </c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4.25" customHeight="1">
      <c r="A203" s="33" t="str">
        <f>CONCATENATE(A195,".3")</f>
        <v>D31.3</v>
      </c>
      <c r="B203" s="33" t="s">
        <v>99</v>
      </c>
      <c r="C203" s="48" t="str">
        <f>VLOOKUP(B203,'Composição dos serv'!A:I,3,FALSE)</f>
        <v>COBERTURA</v>
      </c>
      <c r="D203" s="48"/>
      <c r="E203" s="48"/>
      <c r="F203" s="48"/>
      <c r="G203" s="48"/>
      <c r="H203" s="48"/>
      <c r="I203" s="24"/>
      <c r="J203" s="24"/>
      <c r="K203" s="39">
        <f>SUMIF('Composição dos serv'!A:A,B203,'Composição dos serv'!K:K)</f>
        <v>0</v>
      </c>
      <c r="L203" s="40">
        <f t="shared" si="52"/>
        <v>0</v>
      </c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14.25" hidden="1" customHeight="1">
      <c r="A204" s="26" t="str">
        <f t="shared" ref="A204:A209" si="54">A203</f>
        <v>D31.3</v>
      </c>
      <c r="B204" s="26" t="s">
        <v>101</v>
      </c>
      <c r="C204" s="37" t="str">
        <f>VLOOKUP(B204,'Composição dos serv'!A:I,3,FALSE)</f>
        <v>Retirada de Estrutura de madeira sem telhas</v>
      </c>
      <c r="D204" s="26" t="str">
        <f>VLOOKUP(B204,'Composição dos serv'!A:I,4,FALSE)</f>
        <v>m²</v>
      </c>
      <c r="E204" s="37"/>
      <c r="F204" s="37">
        <f>ROUNDUP(E204*0.2,2)</f>
        <v>0</v>
      </c>
      <c r="G204" s="38">
        <f>SUMIF('Composição dos serv'!A:A,'PESM Itutinga Piloes pt2'!B204,'Composição dos serv'!I:I)</f>
        <v>0</v>
      </c>
      <c r="H204" s="38">
        <f t="shared" ref="H204:H209" si="55">E204*G204</f>
        <v>0</v>
      </c>
      <c r="I204" s="24"/>
      <c r="J204" s="24"/>
      <c r="K204" s="39">
        <f>SUMIF('Composição dos serv'!A:A,B204,'Composição dos serv'!K:K)</f>
        <v>0.03</v>
      </c>
      <c r="L204" s="40">
        <f t="shared" si="52"/>
        <v>0</v>
      </c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14.25" hidden="1" customHeight="1">
      <c r="A205" s="26" t="str">
        <f t="shared" si="54"/>
        <v>D31.3</v>
      </c>
      <c r="B205" s="26" t="s">
        <v>105</v>
      </c>
      <c r="C205" s="37" t="str">
        <f>VLOOKUP(B205,'Composição dos serv'!A:I,3,FALSE)</f>
        <v>Retirada de Telhas de Barro com Estrutura em madeira (tesouras, treliças,...)</v>
      </c>
      <c r="D205" s="26" t="str">
        <f>VLOOKUP(B205,'Composição dos serv'!A:I,4,FALSE)</f>
        <v>m²</v>
      </c>
      <c r="E205" s="37"/>
      <c r="F205" s="37">
        <f>ROUNDUP(E205*0.08+E205*0.2,2)</f>
        <v>0</v>
      </c>
      <c r="G205" s="38">
        <f>SUMIF('Composição dos serv'!A:A,'PESM Itutinga Piloes pt2'!B205,'Composição dos serv'!I:I)</f>
        <v>0</v>
      </c>
      <c r="H205" s="38">
        <f t="shared" si="55"/>
        <v>0</v>
      </c>
      <c r="I205" s="24"/>
      <c r="J205" s="24"/>
      <c r="K205" s="39">
        <f>SUMIF('Composição dos serv'!A:A,B205,'Composição dos serv'!K:K)</f>
        <v>0.06</v>
      </c>
      <c r="L205" s="40">
        <f t="shared" si="52"/>
        <v>0</v>
      </c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4.25" hidden="1" customHeight="1">
      <c r="A206" s="26" t="str">
        <f t="shared" si="54"/>
        <v>D31.3</v>
      </c>
      <c r="B206" s="26" t="s">
        <v>111</v>
      </c>
      <c r="C206" s="37" t="str">
        <f>VLOOKUP(B206,'Composição dos serv'!A:I,3,FALSE)</f>
        <v>Retirada de Telhas de amianto Sem Estrutura</v>
      </c>
      <c r="D206" s="26" t="str">
        <f>VLOOKUP(B206,'Composição dos serv'!A:I,4,FALSE)</f>
        <v>m²</v>
      </c>
      <c r="E206" s="37"/>
      <c r="F206" s="37"/>
      <c r="G206" s="38">
        <f>SUMIF('Composição dos serv'!A:A,'PESM Itutinga Piloes pt2'!B206,'Composição dos serv'!I:I)</f>
        <v>0</v>
      </c>
      <c r="H206" s="38">
        <f t="shared" si="55"/>
        <v>0</v>
      </c>
      <c r="I206" s="24"/>
      <c r="J206" s="24"/>
      <c r="K206" s="39">
        <f>SUMIF('Composição dos serv'!A:A,B206,'Composição dos serv'!K:K)</f>
        <v>0.02</v>
      </c>
      <c r="L206" s="40">
        <f t="shared" si="52"/>
        <v>0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14.25" customHeight="1">
      <c r="A207" s="26" t="str">
        <f t="shared" si="54"/>
        <v>D31.3</v>
      </c>
      <c r="B207" s="26" t="s">
        <v>117</v>
      </c>
      <c r="C207" s="37" t="str">
        <f>VLOOKUP(B207,'Composição dos serv'!A:I,3,FALSE)</f>
        <v>Retirada de Telhas de amianto com Estrutura em madeira (tesouras, treliças,...)</v>
      </c>
      <c r="D207" s="26" t="str">
        <f>VLOOKUP(B207,'Composição dos serv'!A:I,4,FALSE)</f>
        <v>m²</v>
      </c>
      <c r="E207" s="37">
        <v>120</v>
      </c>
      <c r="F207" s="37">
        <f>ROUNDUP(E207*0.1,2)</f>
        <v>12</v>
      </c>
      <c r="G207" s="38">
        <f>SUMIF('Composição dos serv'!A:A,'PESM Itutinga Piloes pt2'!B207,'Composição dos serv'!I:I)</f>
        <v>0</v>
      </c>
      <c r="H207" s="38">
        <f t="shared" si="55"/>
        <v>0</v>
      </c>
      <c r="I207" s="24"/>
      <c r="J207" s="24"/>
      <c r="K207" s="39">
        <f>SUMIF('Composição dos serv'!A:A,B207,'Composição dos serv'!K:K)</f>
        <v>0.04</v>
      </c>
      <c r="L207" s="40">
        <f t="shared" si="52"/>
        <v>5</v>
      </c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14.25" customHeight="1">
      <c r="A208" s="26" t="str">
        <f t="shared" si="54"/>
        <v>D31.3</v>
      </c>
      <c r="B208" s="26" t="s">
        <v>121</v>
      </c>
      <c r="C208" s="37" t="str">
        <f>VLOOKUP(B208,'Composição dos serv'!A:I,3,FALSE)</f>
        <v>Retirada de Laje em concreto</v>
      </c>
      <c r="D208" s="26" t="str">
        <f>VLOOKUP(B208,'Composição dos serv'!A:I,4,FALSE)</f>
        <v>m²</v>
      </c>
      <c r="E208" s="37">
        <v>50</v>
      </c>
      <c r="F208" s="37">
        <f>ROUNDUP(E208*0.12,2)</f>
        <v>6</v>
      </c>
      <c r="G208" s="38">
        <f>SUMIF('Composição dos serv'!A:A,'PESM Itutinga Piloes pt2'!B208,'Composição dos serv'!I:I)</f>
        <v>0</v>
      </c>
      <c r="H208" s="38">
        <f t="shared" si="55"/>
        <v>0</v>
      </c>
      <c r="I208" s="24"/>
      <c r="J208" s="24"/>
      <c r="K208" s="39">
        <f>SUMIF('Composição dos serv'!A:A,B208,'Composição dos serv'!K:K)</f>
        <v>0.09</v>
      </c>
      <c r="L208" s="40">
        <f t="shared" si="52"/>
        <v>5</v>
      </c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14.25" customHeight="1">
      <c r="A209" s="26" t="str">
        <f t="shared" si="54"/>
        <v>D31.3</v>
      </c>
      <c r="B209" s="26" t="s">
        <v>129</v>
      </c>
      <c r="C209" s="37" t="str">
        <f>VLOOKUP(B209,'Composição dos serv'!A:I,3,FALSE)</f>
        <v>Retirada de Forros qualquer com sistema de fixação</v>
      </c>
      <c r="D209" s="26" t="str">
        <f>VLOOKUP(B209,'Composição dos serv'!A:I,4,FALSE)</f>
        <v>m²</v>
      </c>
      <c r="E209" s="37">
        <v>72</v>
      </c>
      <c r="F209" s="37">
        <f>ROUNDUP(E209*0.1,2)</f>
        <v>7.2</v>
      </c>
      <c r="G209" s="38">
        <f>SUMIF('Composição dos serv'!A:A,'PESM Itutinga Piloes pt2'!B209,'Composição dos serv'!I:I)</f>
        <v>0</v>
      </c>
      <c r="H209" s="38">
        <f t="shared" si="55"/>
        <v>0</v>
      </c>
      <c r="I209" s="24"/>
      <c r="J209" s="24"/>
      <c r="K209" s="39">
        <f>SUMIF('Composição dos serv'!A:A,B209,'Composição dos serv'!K:K)</f>
        <v>0.04</v>
      </c>
      <c r="L209" s="40">
        <f t="shared" si="52"/>
        <v>3</v>
      </c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14.25" customHeight="1">
      <c r="A210" s="33" t="str">
        <f>CONCATENATE(A195,".4")</f>
        <v>D31.4</v>
      </c>
      <c r="B210" s="33" t="s">
        <v>133</v>
      </c>
      <c r="C210" s="34" t="str">
        <f>VLOOKUP(B210,'Composição dos serv'!A:I,3,FALSE)</f>
        <v>PAREDES</v>
      </c>
      <c r="D210" s="35"/>
      <c r="E210" s="35"/>
      <c r="F210" s="35"/>
      <c r="G210" s="35"/>
      <c r="H210" s="36"/>
      <c r="I210" s="24"/>
      <c r="J210" s="24"/>
      <c r="K210" s="39">
        <f>SUMIF('Composição dos serv'!A:A,B210,'Composição dos serv'!K:K)</f>
        <v>0</v>
      </c>
      <c r="L210" s="40">
        <f t="shared" si="52"/>
        <v>0</v>
      </c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14.25" customHeight="1">
      <c r="A211" s="26" t="str">
        <f>A210</f>
        <v>D31.4</v>
      </c>
      <c r="B211" s="26" t="s">
        <v>135</v>
      </c>
      <c r="C211" s="37" t="str">
        <f>VLOOKUP(B211,'Composição dos serv'!A:I,3,FALSE)</f>
        <v>Parede em Alvenaria - usar área construida</v>
      </c>
      <c r="D211" s="26" t="str">
        <f>VLOOKUP(B211,'Composição dos serv'!A:I,4,FALSE)</f>
        <v>m²</v>
      </c>
      <c r="E211" s="49">
        <v>120</v>
      </c>
      <c r="F211" s="37">
        <f>ROUNDUP(E211*0.8,2)</f>
        <v>96</v>
      </c>
      <c r="G211" s="38">
        <f>SUMIF('Composição dos serv'!A:A,B211,'Composição dos serv'!I:I)</f>
        <v>0</v>
      </c>
      <c r="H211" s="38">
        <f t="shared" ref="H211:H213" si="56">E211*G211</f>
        <v>0</v>
      </c>
      <c r="I211" s="24"/>
      <c r="J211" s="24"/>
      <c r="K211" s="39">
        <f>SUMIF('Composição dos serv'!A:A,B211,'Composição dos serv'!K:K)</f>
        <v>0.15000000000000002</v>
      </c>
      <c r="L211" s="40">
        <f t="shared" si="52"/>
        <v>18</v>
      </c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14.25" hidden="1" customHeight="1">
      <c r="A212" s="26" t="str">
        <f>A210</f>
        <v>D31.4</v>
      </c>
      <c r="B212" s="26" t="s">
        <v>143</v>
      </c>
      <c r="C212" s="37" t="str">
        <f>VLOOKUP(B212,'Composição dos serv'!A:I,3,FALSE)</f>
        <v>Parede em Madeirite - Chapas de madeira compensada ou aglomerada - área construída</v>
      </c>
      <c r="D212" s="26" t="str">
        <f>VLOOKUP(B212,'Composição dos serv'!A:I,4,FALSE)</f>
        <v>m²</v>
      </c>
      <c r="E212" s="37"/>
      <c r="F212" s="37">
        <f>ROUNDUP(E212*0.21,2)</f>
        <v>0</v>
      </c>
      <c r="G212" s="38">
        <f>SUMIF('Composição dos serv'!A:A,B212,'Composição dos serv'!I:I)</f>
        <v>0</v>
      </c>
      <c r="H212" s="38">
        <f t="shared" si="56"/>
        <v>0</v>
      </c>
      <c r="I212" s="24"/>
      <c r="J212" s="24"/>
      <c r="K212" s="39">
        <f>SUMIF('Composição dos serv'!A:A,B212,'Composição dos serv'!K:K)</f>
        <v>0.15000000000000002</v>
      </c>
      <c r="L212" s="40">
        <f t="shared" si="52"/>
        <v>0</v>
      </c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14.25" hidden="1" customHeight="1">
      <c r="A213" s="26" t="str">
        <f>A210</f>
        <v>D31.4</v>
      </c>
      <c r="B213" s="26" t="s">
        <v>145</v>
      </c>
      <c r="C213" s="37" t="str">
        <f>VLOOKUP(B213,'Composição dos serv'!A:I,3,FALSE)</f>
        <v>Parede em Lambril de madeira - área construída</v>
      </c>
      <c r="D213" s="26" t="str">
        <f>VLOOKUP(B213,'Composição dos serv'!A:I,4,FALSE)</f>
        <v>m²</v>
      </c>
      <c r="E213" s="37"/>
      <c r="F213" s="37">
        <f>ROUNDUP(E213*4*0.12,2)</f>
        <v>0</v>
      </c>
      <c r="G213" s="38">
        <f>SUMIF('Composição dos serv'!A:A,B213,'Composição dos serv'!I:I)</f>
        <v>0</v>
      </c>
      <c r="H213" s="38">
        <f t="shared" si="56"/>
        <v>0</v>
      </c>
      <c r="I213" s="24"/>
      <c r="J213" s="24"/>
      <c r="K213" s="39">
        <f>SUMIF('Composição dos serv'!A:A,B213,'Composição dos serv'!K:K)</f>
        <v>0.35000000000000009</v>
      </c>
      <c r="L213" s="40">
        <f t="shared" si="52"/>
        <v>0</v>
      </c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14.25" customHeight="1">
      <c r="A214" s="33" t="str">
        <f>CONCATENATE(A195,".5")</f>
        <v>D31.5</v>
      </c>
      <c r="B214" s="33" t="s">
        <v>153</v>
      </c>
      <c r="C214" s="34" t="str">
        <f>VLOOKUP(B214,'Composição dos serv'!A:I,3,FALSE)</f>
        <v>PISO E FUNDAÇÃO</v>
      </c>
      <c r="D214" s="35"/>
      <c r="E214" s="35"/>
      <c r="F214" s="35"/>
      <c r="G214" s="35"/>
      <c r="H214" s="36"/>
      <c r="I214" s="24"/>
      <c r="J214" s="24"/>
      <c r="K214" s="39">
        <f>SUMIF('Composição dos serv'!A:A,B214,'Composição dos serv'!K:K)</f>
        <v>0</v>
      </c>
      <c r="L214" s="40">
        <f t="shared" si="52"/>
        <v>0</v>
      </c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14.25" hidden="1" customHeight="1">
      <c r="A215" s="26" t="str">
        <f>A214</f>
        <v>D31.5</v>
      </c>
      <c r="B215" s="26" t="s">
        <v>155</v>
      </c>
      <c r="C215" s="37" t="str">
        <f>VLOOKUP(B215,'Composição dos serv'!A:I,3,FALSE)</f>
        <v>Piso da edificação com fundação</v>
      </c>
      <c r="D215" s="26" t="str">
        <f>VLOOKUP(B215,'Composição dos serv'!A:I,4,FALSE)</f>
        <v>m²</v>
      </c>
      <c r="E215" s="37"/>
      <c r="F215" s="37">
        <f>ROUNDUP(E215*0.24,2)</f>
        <v>0</v>
      </c>
      <c r="G215" s="38">
        <f>SUMIF('Composição dos serv'!A:A,B215,'Composição dos serv'!I:I)</f>
        <v>0</v>
      </c>
      <c r="H215" s="38">
        <f>E215*G215</f>
        <v>0</v>
      </c>
      <c r="I215" s="24"/>
      <c r="J215" s="24"/>
      <c r="K215" s="39">
        <f>SUMIF('Composição dos serv'!A:A,B215,'Composição dos serv'!K:K)</f>
        <v>0.17</v>
      </c>
      <c r="L215" s="40">
        <f t="shared" si="52"/>
        <v>0</v>
      </c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14.25" customHeight="1">
      <c r="A216" s="33" t="str">
        <f>CONCATENATE(A195,".6")</f>
        <v>D31.6</v>
      </c>
      <c r="B216" s="33" t="s">
        <v>161</v>
      </c>
      <c r="C216" s="48" t="str">
        <f>VLOOKUP(B216,'Composição dos serv'!A:I,3,FALSE)</f>
        <v>ESTRUTURAS DIVERSAS</v>
      </c>
      <c r="D216" s="48"/>
      <c r="E216" s="48"/>
      <c r="F216" s="48"/>
      <c r="G216" s="48"/>
      <c r="H216" s="48"/>
      <c r="I216" s="24"/>
      <c r="J216" s="24"/>
      <c r="K216" s="39">
        <f>SUMIF('Composição dos serv'!A:A,B216,'Composição dos serv'!K:K)</f>
        <v>0</v>
      </c>
      <c r="L216" s="40">
        <f t="shared" si="52"/>
        <v>0</v>
      </c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14.25" hidden="1" customHeight="1">
      <c r="A217" s="26" t="str">
        <f>A216</f>
        <v>D31.6</v>
      </c>
      <c r="B217" s="26" t="s">
        <v>163</v>
      </c>
      <c r="C217" s="37" t="str">
        <f>VLOOKUP(B217,'Composição dos serv'!A:I,3,FALSE)</f>
        <v>Escada em concreto com corrimão</v>
      </c>
      <c r="D217" s="26" t="str">
        <f>VLOOKUP(B217,'Composição dos serv'!A:I,4,FALSE)</f>
        <v>m</v>
      </c>
      <c r="E217" s="49"/>
      <c r="F217" s="37">
        <f>ROUNDUP(E217*1.2*0.25,2)</f>
        <v>0</v>
      </c>
      <c r="G217" s="38">
        <f>SUMIF('Composição dos serv'!A:A,'PESM Itutinga Piloes pt2'!B217,'Composição dos serv'!I:I)</f>
        <v>0</v>
      </c>
      <c r="H217" s="38">
        <f t="shared" ref="H217:H220" si="57">E217*G217</f>
        <v>0</v>
      </c>
      <c r="I217" s="24"/>
      <c r="J217" s="24"/>
      <c r="K217" s="39">
        <f>SUMIF('Composição dos serv'!A:A,B217,'Composição dos serv'!K:K)</f>
        <v>0.39</v>
      </c>
      <c r="L217" s="40">
        <f t="shared" si="52"/>
        <v>0</v>
      </c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14.25" customHeight="1">
      <c r="A218" s="26" t="str">
        <f>A216</f>
        <v>D31.6</v>
      </c>
      <c r="B218" s="26" t="s">
        <v>169</v>
      </c>
      <c r="C218" s="37" t="str">
        <f>VLOOKUP(B218,'Composição dos serv'!A:I,3,FALSE)</f>
        <v>Entrada de Energia - medidor</v>
      </c>
      <c r="D218" s="26" t="str">
        <f>VLOOKUP(B218,'Composição dos serv'!A:I,4,FALSE)</f>
        <v>un</v>
      </c>
      <c r="E218" s="37">
        <v>1</v>
      </c>
      <c r="F218" s="37">
        <f>ROUNDUP(E218*(3.2+(((3.1415*0.4^2)/4)*6)),2)</f>
        <v>3.96</v>
      </c>
      <c r="G218" s="38">
        <f>SUMIF('Composição dos serv'!A:A,'PESM Itutinga Piloes pt2'!B218,'Composição dos serv'!I:I)</f>
        <v>0</v>
      </c>
      <c r="H218" s="38">
        <f t="shared" si="57"/>
        <v>0</v>
      </c>
      <c r="I218" s="24"/>
      <c r="J218" s="24"/>
      <c r="K218" s="39">
        <f>SUMIF('Composição dos serv'!A:A,B218,'Composição dos serv'!K:K)</f>
        <v>1.7600000000000002</v>
      </c>
      <c r="L218" s="40">
        <f t="shared" si="52"/>
        <v>2</v>
      </c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ht="14.25" customHeight="1">
      <c r="A219" s="26" t="str">
        <f>A216</f>
        <v>D31.6</v>
      </c>
      <c r="B219" s="26" t="s">
        <v>183</v>
      </c>
      <c r="C219" s="37" t="str">
        <f>VLOOKUP(B219,'Composição dos serv'!A:I,3,FALSE)</f>
        <v>Hidrômetro com abrigo</v>
      </c>
      <c r="D219" s="26" t="str">
        <f>VLOOKUP(B219,'Composição dos serv'!A:I,4,FALSE)</f>
        <v>un</v>
      </c>
      <c r="E219" s="37">
        <v>1</v>
      </c>
      <c r="F219" s="37">
        <f>ROUNDUP(E219*(1.7+0.1),2)</f>
        <v>1.8</v>
      </c>
      <c r="G219" s="38">
        <f>SUMIF('Composição dos serv'!A:A,'PESM Itutinga Piloes pt2'!B219,'Composição dos serv'!I:I)</f>
        <v>0</v>
      </c>
      <c r="H219" s="38">
        <f t="shared" si="57"/>
        <v>0</v>
      </c>
      <c r="I219" s="24"/>
      <c r="J219" s="24"/>
      <c r="K219" s="39">
        <f>SUMIF('Composição dos serv'!A:A,B219,'Composição dos serv'!K:K)</f>
        <v>0.44000000000000006</v>
      </c>
      <c r="L219" s="40">
        <f t="shared" si="52"/>
        <v>1</v>
      </c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14.25" customHeight="1">
      <c r="A220" s="26" t="str">
        <f>A218</f>
        <v>D31.6</v>
      </c>
      <c r="B220" s="26" t="s">
        <v>191</v>
      </c>
      <c r="C220" s="37" t="str">
        <f>VLOOKUP(B220,'Composição dos serv'!A:I,3,FALSE)</f>
        <v>Aterro de Fossa com retirada de tampa</v>
      </c>
      <c r="D220" s="26" t="str">
        <f>VLOOKUP(B220,'Composição dos serv'!A:I,4,FALSE)</f>
        <v>un</v>
      </c>
      <c r="E220" s="37">
        <v>1</v>
      </c>
      <c r="F220" s="37">
        <f>ROUNDUP(E220*(0.4),2)</f>
        <v>0.4</v>
      </c>
      <c r="G220" s="38">
        <f>SUMIF('Composição dos serv'!A:A,'PESM Itutinga Piloes pt2'!B220,'Composição dos serv'!I:I)</f>
        <v>0</v>
      </c>
      <c r="H220" s="38">
        <f t="shared" si="57"/>
        <v>0</v>
      </c>
      <c r="I220" s="24"/>
      <c r="J220" s="24"/>
      <c r="K220" s="39">
        <f>SUMIF('Composição dos serv'!A:A,B220,'Composição dos serv'!K:K)</f>
        <v>0.85000000000000009</v>
      </c>
      <c r="L220" s="40">
        <f t="shared" si="52"/>
        <v>1</v>
      </c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14.25" customHeight="1">
      <c r="A221" s="33" t="str">
        <f>CONCATENATE(A195,".7")</f>
        <v>D31.7</v>
      </c>
      <c r="B221" s="33" t="s">
        <v>195</v>
      </c>
      <c r="C221" s="48" t="str">
        <f>VLOOKUP(B221,'Composição dos serv'!A:I,3,FALSE)</f>
        <v>ACABAMENTOS DIVERSOS e OUTROS</v>
      </c>
      <c r="D221" s="48"/>
      <c r="E221" s="48"/>
      <c r="F221" s="48"/>
      <c r="G221" s="48"/>
      <c r="H221" s="48"/>
      <c r="I221" s="24"/>
      <c r="J221" s="24"/>
      <c r="K221" s="39">
        <f>SUMIF('Composição dos serv'!A:A,B221,'Composição dos serv'!K:K)</f>
        <v>0</v>
      </c>
      <c r="L221" s="40">
        <f t="shared" si="52"/>
        <v>0</v>
      </c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14.25" customHeight="1">
      <c r="A222" s="26" t="str">
        <f>A221</f>
        <v>D31.7</v>
      </c>
      <c r="B222" s="50" t="s">
        <v>197</v>
      </c>
      <c r="C222" s="49" t="str">
        <f>VLOOKUP(B222,'Composição dos serv'!A:I,3,FALSE)</f>
        <v>Remoção de aparelhos sanitarios - por banheiro</v>
      </c>
      <c r="D222" s="50" t="str">
        <f>VLOOKUP(B222,'Composição dos serv'!A:I,4,FALSE)</f>
        <v>unid</v>
      </c>
      <c r="E222" s="49">
        <v>2</v>
      </c>
      <c r="F222" s="37">
        <f t="shared" ref="F222:F224" si="58">ROUNDUP(E222*1,2)</f>
        <v>2</v>
      </c>
      <c r="G222" s="51">
        <f>SUMIF('Composição dos serv'!A:A,B222,'Composição dos serv'!I:I)</f>
        <v>0</v>
      </c>
      <c r="H222" s="51">
        <f t="shared" ref="H222:H228" si="59">E222*G222</f>
        <v>0</v>
      </c>
      <c r="I222" s="24"/>
      <c r="J222" s="24"/>
      <c r="K222" s="39">
        <f>SUMIF('Composição dos serv'!A:A,B222,'Composição dos serv'!K:K)</f>
        <v>0.19</v>
      </c>
      <c r="L222" s="40">
        <f t="shared" si="52"/>
        <v>1</v>
      </c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ht="14.25" customHeight="1">
      <c r="A223" s="26" t="str">
        <f>A221</f>
        <v>D31.7</v>
      </c>
      <c r="B223" s="50" t="s">
        <v>209</v>
      </c>
      <c r="C223" s="37" t="str">
        <f>VLOOKUP(B223,'Composição dos serv'!A:I,3,FALSE)</f>
        <v>Remoção de aparelhos sanitarios - Cozinha e Área de Serviço</v>
      </c>
      <c r="D223" s="26" t="str">
        <f>VLOOKUP(B223,'Composição dos serv'!A:I,4,FALSE)</f>
        <v>unid</v>
      </c>
      <c r="E223" s="37">
        <v>2</v>
      </c>
      <c r="F223" s="37">
        <f t="shared" si="58"/>
        <v>2</v>
      </c>
      <c r="G223" s="51">
        <f>SUMIF('Composição dos serv'!A:A,B223,'Composição dos serv'!I:I)</f>
        <v>0</v>
      </c>
      <c r="H223" s="38">
        <f t="shared" si="59"/>
        <v>0</v>
      </c>
      <c r="I223" s="24"/>
      <c r="J223" s="24"/>
      <c r="K223" s="39">
        <f>SUMIF('Composição dos serv'!A:A,B223,'Composição dos serv'!K:K)</f>
        <v>0.21</v>
      </c>
      <c r="L223" s="40">
        <f t="shared" si="52"/>
        <v>1</v>
      </c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ht="14.25" customHeight="1">
      <c r="A224" s="26" t="str">
        <f>A221</f>
        <v>D31.7</v>
      </c>
      <c r="B224" s="50" t="s">
        <v>215</v>
      </c>
      <c r="C224" s="37" t="str">
        <f>VLOOKUP(B224,'Composição dos serv'!A:I,3,FALSE)</f>
        <v>Remoção de caixa d'agua</v>
      </c>
      <c r="D224" s="26" t="str">
        <f>VLOOKUP(B224,'Composição dos serv'!A:I,4,FALSE)</f>
        <v>unid</v>
      </c>
      <c r="E224" s="37">
        <v>2</v>
      </c>
      <c r="F224" s="37">
        <f t="shared" si="58"/>
        <v>2</v>
      </c>
      <c r="G224" s="51">
        <f>SUMIF('Composição dos serv'!A:A,B224,'Composição dos serv'!I:I)</f>
        <v>0</v>
      </c>
      <c r="H224" s="38">
        <f t="shared" si="59"/>
        <v>0</v>
      </c>
      <c r="I224" s="24"/>
      <c r="J224" s="24"/>
      <c r="K224" s="39">
        <f>SUMIF('Composição dos serv'!A:A,B224,'Composição dos serv'!K:K)</f>
        <v>0.42000000000000004</v>
      </c>
      <c r="L224" s="40">
        <f t="shared" si="52"/>
        <v>1</v>
      </c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14.25" hidden="1" customHeight="1">
      <c r="A225" s="26" t="str">
        <f>A221</f>
        <v>D31.7</v>
      </c>
      <c r="B225" s="50" t="s">
        <v>219</v>
      </c>
      <c r="C225" s="37" t="str">
        <f>VLOOKUP(B225,'Composição dos serv'!A:I,3,FALSE)</f>
        <v>Remoção do Sistema de Para raios - área do telhado</v>
      </c>
      <c r="D225" s="26" t="str">
        <f>VLOOKUP(B225,'Composição dos serv'!A:I,4,FALSE)</f>
        <v>m²</v>
      </c>
      <c r="E225" s="37"/>
      <c r="F225" s="37">
        <f>ROUNDUP(E225/60,2)</f>
        <v>0</v>
      </c>
      <c r="G225" s="51">
        <f>SUMIF('Composição dos serv'!A:A,B225,'Composição dos serv'!I:I)</f>
        <v>0</v>
      </c>
      <c r="H225" s="38">
        <f t="shared" si="59"/>
        <v>0</v>
      </c>
      <c r="I225" s="24"/>
      <c r="J225" s="24"/>
      <c r="K225" s="39">
        <f>SUMIF('Composição dos serv'!A:A,B225,'Composição dos serv'!K:K)</f>
        <v>0.05</v>
      </c>
      <c r="L225" s="40">
        <f t="shared" si="52"/>
        <v>0</v>
      </c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ht="14.25" customHeight="1">
      <c r="A226" s="26" t="str">
        <f>A221</f>
        <v>D31.7</v>
      </c>
      <c r="B226" s="50" t="s">
        <v>227</v>
      </c>
      <c r="C226" s="37" t="str">
        <f>VLOOKUP(B226,'Composição dos serv'!A:I,3,FALSE)</f>
        <v>Janelas</v>
      </c>
      <c r="D226" s="26" t="str">
        <f>VLOOKUP(B226,'Composição dos serv'!A:I,4,FALSE)</f>
        <v>un</v>
      </c>
      <c r="E226" s="37">
        <v>7</v>
      </c>
      <c r="F226" s="37">
        <f>ROUNDUP(E226*1.5*1.2*0.2,2)</f>
        <v>2.52</v>
      </c>
      <c r="G226" s="51">
        <f>SUMIF('Composição dos serv'!A:A,B226,'Composição dos serv'!I:I)</f>
        <v>0</v>
      </c>
      <c r="H226" s="38">
        <f t="shared" si="59"/>
        <v>0</v>
      </c>
      <c r="I226" s="24"/>
      <c r="J226" s="24"/>
      <c r="K226" s="39">
        <f>SUMIF('Composição dos serv'!A:A,B226,'Composição dos serv'!K:K)</f>
        <v>0</v>
      </c>
      <c r="L226" s="40">
        <f t="shared" si="52"/>
        <v>0</v>
      </c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14.25" customHeight="1">
      <c r="A227" s="26" t="str">
        <f>A221</f>
        <v>D31.7</v>
      </c>
      <c r="B227" s="50" t="s">
        <v>234</v>
      </c>
      <c r="C227" s="37" t="str">
        <f>VLOOKUP(B227,'Composição dos serv'!A:I,3,FALSE)</f>
        <v>Portas</v>
      </c>
      <c r="D227" s="26" t="str">
        <f>VLOOKUP(B227,'Composição dos serv'!A:I,4,FALSE)</f>
        <v>un</v>
      </c>
      <c r="E227" s="37">
        <v>3</v>
      </c>
      <c r="F227" s="37">
        <f>ROUNDUP(E227*2.1*0.9*0.2,2)</f>
        <v>1.1399999999999999</v>
      </c>
      <c r="G227" s="51">
        <f>SUMIF('Composição dos serv'!A:A,B227,'Composição dos serv'!I:I)</f>
        <v>0</v>
      </c>
      <c r="H227" s="38">
        <f t="shared" si="59"/>
        <v>0</v>
      </c>
      <c r="I227" s="24"/>
      <c r="J227" s="24"/>
      <c r="K227" s="39">
        <f>SUMIF('Composição dos serv'!A:A,B227,'Composição dos serv'!K:K)</f>
        <v>0</v>
      </c>
      <c r="L227" s="40">
        <f t="shared" si="52"/>
        <v>0</v>
      </c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14.25" hidden="1" customHeight="1">
      <c r="A228" s="26" t="str">
        <f>A221</f>
        <v>D31.7</v>
      </c>
      <c r="B228" s="50" t="s">
        <v>236</v>
      </c>
      <c r="C228" s="37" t="str">
        <f>VLOOKUP(B228,'Composição dos serv'!A:I,3,FALSE)</f>
        <v>Guarda corpo de metal</v>
      </c>
      <c r="D228" s="26" t="str">
        <f>VLOOKUP(B228,'Composição dos serv'!A:I,4,FALSE)</f>
        <v>m</v>
      </c>
      <c r="E228" s="37"/>
      <c r="F228" s="37">
        <f>ROUNDUP(E228*1.7*0.05,2)</f>
        <v>0</v>
      </c>
      <c r="G228" s="51">
        <f>SUMIF('Composição dos serv'!A:A,B228,'Composição dos serv'!I:I)</f>
        <v>0</v>
      </c>
      <c r="H228" s="38">
        <f t="shared" si="59"/>
        <v>0</v>
      </c>
      <c r="I228" s="24"/>
      <c r="J228" s="24"/>
      <c r="K228" s="39">
        <f>SUMIF('Composição dos serv'!A:A,B228,'Composição dos serv'!K:K)</f>
        <v>0</v>
      </c>
      <c r="L228" s="40">
        <f t="shared" si="52"/>
        <v>0</v>
      </c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14.25" customHeight="1">
      <c r="A229" s="33" t="str">
        <f>CONCATENATE(A195,".8")</f>
        <v>D31.8</v>
      </c>
      <c r="B229" s="33" t="s">
        <v>240</v>
      </c>
      <c r="C229" s="48" t="str">
        <f>VLOOKUP(B229,'Composição dos serv'!A:I,3,FALSE)</f>
        <v>ENTULHO</v>
      </c>
      <c r="D229" s="48"/>
      <c r="E229" s="48"/>
      <c r="F229" s="48"/>
      <c r="G229" s="48"/>
      <c r="H229" s="48"/>
      <c r="I229" s="24"/>
      <c r="J229" s="24"/>
      <c r="K229" s="39">
        <f>SUMIF('Composição dos serv'!A:A,B229,'Composição dos serv'!K:K)</f>
        <v>0</v>
      </c>
      <c r="L229" s="40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14.25" hidden="1" customHeight="1">
      <c r="A230" s="26" t="str">
        <f>A229</f>
        <v>D31.8</v>
      </c>
      <c r="B230" s="50" t="s">
        <v>242</v>
      </c>
      <c r="C230" s="49" t="str">
        <f>VLOOKUP(B230,'Composição dos serv'!A:I,3,FALSE)</f>
        <v>Transporte e espalhamento Manual do entulho a ser reutilizado</v>
      </c>
      <c r="D230" s="50" t="s">
        <v>291</v>
      </c>
      <c r="E230" s="49"/>
      <c r="F230" s="52">
        <f>IF(E230=1,ROUNDUP((IF(E198&lt;&gt;"",F198,0)+IF(E199&lt;&gt;"",F199,0)+IF(E201&lt;&gt;"",F201,0)+IF(E202&lt;&gt;"",F202*0.34,0)+IF(E205&lt;&gt;"",F205*0.43,0)+IF(E208&lt;&gt;"",F208*0.8,0)+IF(E211&lt;&gt;"",F211*(0.78),0)+IF(E215&lt;&gt;"",F215*0.98,0)+IF(E217&lt;&gt;"",F217*0.91,0)+IF(E218&lt;&gt;"",F218*0.26,0)+IF(E219&lt;&gt;"",F219*0.24,0)+IF(E220&lt;&gt;"",F220,0)),2),0)</f>
        <v>0</v>
      </c>
      <c r="G230" s="51">
        <f>SUMIF('Composição dos serv'!A:A,B230,'Composição dos serv'!I:I)</f>
        <v>0</v>
      </c>
      <c r="H230" s="51">
        <f t="shared" ref="H230:H231" si="60">F230*G230</f>
        <v>0</v>
      </c>
      <c r="I230" s="24"/>
      <c r="J230" s="24"/>
      <c r="K230" s="39">
        <f>SUMIF('Composição dos serv'!A:A,B230,'Composição dos serv'!K:K)</f>
        <v>0.15000000000000002</v>
      </c>
      <c r="L230" s="40">
        <f t="shared" ref="L230:L233" si="61">ROUNDUP(K230*F230,0)</f>
        <v>0</v>
      </c>
      <c r="M230" s="45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14.25" hidden="1" customHeight="1">
      <c r="A231" s="26" t="str">
        <f>A229</f>
        <v>D31.8</v>
      </c>
      <c r="B231" s="50" t="s">
        <v>246</v>
      </c>
      <c r="C231" s="49" t="str">
        <f>VLOOKUP(B231,'Composição dos serv'!A:I,3,FALSE)</f>
        <v>Remoção e Transporte Mecanizado do entulho a ser reutilizado</v>
      </c>
      <c r="D231" s="50" t="s">
        <v>291</v>
      </c>
      <c r="E231" s="49"/>
      <c r="F231" s="52">
        <f>IF(E231=1,SUM(F198:F228)-H235,0)</f>
        <v>0</v>
      </c>
      <c r="G231" s="51">
        <f>SUMIF('Composição dos serv'!A:A,B231,'Composição dos serv'!I:I)</f>
        <v>0</v>
      </c>
      <c r="H231" s="51">
        <f t="shared" si="60"/>
        <v>0</v>
      </c>
      <c r="I231" s="24"/>
      <c r="J231" s="24"/>
      <c r="K231" s="39">
        <f>SUMIF('Composição dos serv'!A:A,B231,'Composição dos serv'!K:K)</f>
        <v>0.02</v>
      </c>
      <c r="L231" s="40">
        <f t="shared" si="61"/>
        <v>0</v>
      </c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14.25" customHeight="1">
      <c r="A232" s="26" t="str">
        <f>A229</f>
        <v>D31.8</v>
      </c>
      <c r="B232" s="50" t="s">
        <v>252</v>
      </c>
      <c r="C232" s="49" t="str">
        <f>VLOOKUP(B232,'Composição dos serv'!A:I,3,FALSE)</f>
        <v>Remoção do entulho com caçamba</v>
      </c>
      <c r="D232" s="50" t="s">
        <v>291</v>
      </c>
      <c r="E232" s="49">
        <v>1</v>
      </c>
      <c r="F232" s="52">
        <f>IF(E232=1,SUM(F198:F228),0)</f>
        <v>242.02</v>
      </c>
      <c r="G232" s="51">
        <f>SUMIF('Composição dos serv'!A:A,B232,'Composição dos serv'!I:I)</f>
        <v>0</v>
      </c>
      <c r="H232" s="51">
        <f>IF(E232&gt;1,"OPÇÃO ERRADA",F232*G232)+IF(G235=1,H235*G232,0)</f>
        <v>0</v>
      </c>
      <c r="I232" s="24"/>
      <c r="J232" s="24"/>
      <c r="K232" s="39">
        <f>SUMIF('Composição dos serv'!A:A,B232,'Composição dos serv'!K:K)</f>
        <v>0.02</v>
      </c>
      <c r="L232" s="40">
        <f t="shared" si="61"/>
        <v>5</v>
      </c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14.25" hidden="1" customHeight="1">
      <c r="A233" s="26" t="str">
        <f>A229</f>
        <v>D31.8</v>
      </c>
      <c r="B233" s="50" t="s">
        <v>256</v>
      </c>
      <c r="C233" s="49" t="str">
        <f>VLOOKUP(B233,'Composição dos serv'!A:I,3,FALSE)</f>
        <v>Remoção e Transporte Mecanizado do entulho para bota fora</v>
      </c>
      <c r="D233" s="50" t="s">
        <v>291</v>
      </c>
      <c r="E233" s="49"/>
      <c r="F233" s="52">
        <f>IF(E233=1,SUM(F198:F228),0)</f>
        <v>0</v>
      </c>
      <c r="G233" s="51">
        <f>SUMIF('Composição dos serv'!A:A,B233,'Composição dos serv'!I:I)</f>
        <v>0</v>
      </c>
      <c r="H233" s="51">
        <f>IF(E233&gt;1,"OPÇÃO ERRADA",F233*G233)+IF(G235=2,H235*G233,0)</f>
        <v>0</v>
      </c>
      <c r="I233" s="24"/>
      <c r="J233" s="24"/>
      <c r="K233" s="39">
        <f>SUMIF('Composição dos serv'!A:A,B233,'Composição dos serv'!K:K)</f>
        <v>7.9999999999999988E-2</v>
      </c>
      <c r="L233" s="40">
        <f t="shared" si="61"/>
        <v>0</v>
      </c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14.25" customHeight="1">
      <c r="A234" s="26" t="str">
        <f>A229</f>
        <v>D31.8</v>
      </c>
      <c r="B234" s="50" t="s">
        <v>264</v>
      </c>
      <c r="C234" s="49" t="str">
        <f>VLOOKUP(B234,'Composição dos serv'!A:I,3,FALSE)</f>
        <v>Remoção de telhas em cimento amianto</v>
      </c>
      <c r="D234" s="26" t="str">
        <f>VLOOKUP(B234,'Composição dos serv'!A:I,4,FALSE)</f>
        <v>m²</v>
      </c>
      <c r="E234" s="49">
        <f>SUM(E206:E207)</f>
        <v>120</v>
      </c>
      <c r="F234" s="52"/>
      <c r="G234" s="51">
        <f>SUMIF('Composição dos serv'!A:A,B234,'Composição dos serv'!I:I)</f>
        <v>0</v>
      </c>
      <c r="H234" s="51">
        <f>G234*E234</f>
        <v>0</v>
      </c>
      <c r="I234" s="24"/>
      <c r="J234" s="24"/>
      <c r="K234" s="39"/>
      <c r="L234" s="40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14.25" customHeight="1">
      <c r="A235" s="53"/>
      <c r="B235" s="53"/>
      <c r="C235" s="37" t="str">
        <f>IF(E232&lt;&gt;1,IF(E233&lt;&gt;1,IF(H235&lt;&gt;0,"Há Material não reutilizavel qual a destinação para ele?",""),""),"")</f>
        <v/>
      </c>
      <c r="D235" s="168" t="str">
        <f>IF(E232&lt;&gt;1,IF(E233&lt;&gt;1,IF(H235&lt;&gt;0,"Caçamba = 1; Aterro = 2",""),""),"")</f>
        <v/>
      </c>
      <c r="E235" s="169"/>
      <c r="F235" s="170"/>
      <c r="G235" s="37"/>
      <c r="H235" s="54">
        <f>IF(E232=1,0,IF(E233=1,0,ROUNDUP((IF(E202&lt;&gt;"",F202*0.66,0)+IF(E205&lt;&gt;"",F205*0.57,0)+IF(E207&lt;&gt;"",F207,0)+IF(E208&lt;&gt;"",F208*0.2,0)+IF(E209&lt;&gt;"",F209,0)+IF(E211&lt;&gt;"",F211*0.22,0)+IF(E212&lt;&gt;"",F212,0)+IF(E213&lt;&gt;"",F213,0)+IF(E215&lt;&gt;"",F215*0.02,0)+IF(E217&lt;&gt;"",F217*0.09,0)+IF(E218&lt;&gt;"",F218*0.74,0)+IF(E219&lt;&gt;"",F219*(1-0.24),0)+IF(E222&lt;&gt;"",F222,0)+IF(E223&lt;&gt;"",F223,0)+IF(E224&lt;&gt;"",F224,0)+IF(E225&lt;&gt;"",F225,0)+IF(E226&lt;&gt;"",F226,0)+IF(E227&lt;&gt;"",F227,0)+IF(E228&lt;&gt;"",F228,0)+IF(E206&lt;&gt;"",F206,0)+IF(E204&lt;&gt;"",F204,0)),2)))</f>
        <v>0</v>
      </c>
      <c r="I235" s="24"/>
      <c r="J235" s="24"/>
      <c r="K235" s="39"/>
      <c r="L235" s="40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6" customHeight="1">
      <c r="I236" s="24"/>
      <c r="J236" s="24"/>
      <c r="K236" s="39">
        <f>SUMIF('Composição dos serv'!A:A,'PESM Itutinga Piloes pt2'!B236,'Composição dos serv'!K:K)</f>
        <v>0</v>
      </c>
      <c r="L236" s="40">
        <f>ROUNDUP(K236*E236,0)</f>
        <v>0</v>
      </c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14.25" customHeight="1">
      <c r="A237" s="72" t="str">
        <f>A195</f>
        <v>D31</v>
      </c>
      <c r="B237" s="187" t="str">
        <f>C195</f>
        <v>EDIFICAÇÃO 20 - Gleba D31</v>
      </c>
      <c r="C237" s="169"/>
      <c r="D237" s="188" t="s">
        <v>280</v>
      </c>
      <c r="E237" s="169"/>
      <c r="F237" s="169"/>
      <c r="G237" s="74">
        <f>SUM(H198:H234)</f>
        <v>0</v>
      </c>
      <c r="H237" s="75"/>
      <c r="I237" s="24"/>
      <c r="J237" s="24"/>
      <c r="K237" s="39">
        <f>IF(SUM(L230:L233)&gt;SUM(L198:L228),SUM(L230:L233),SUM(L198:L228))</f>
        <v>85</v>
      </c>
      <c r="L237" s="40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9.75" customHeight="1">
      <c r="A238" s="66"/>
      <c r="B238" s="53"/>
      <c r="D238" s="53"/>
      <c r="G238" s="67"/>
      <c r="H238" s="67"/>
      <c r="I238" s="24"/>
      <c r="J238" s="24"/>
      <c r="K238" s="39">
        <f>SUMIF('Composição dos serv'!A:A,'PESM Itutinga Piloes pt2'!B238,'Composição dos serv'!K:K)</f>
        <v>0</v>
      </c>
      <c r="L238" s="40">
        <f t="shared" ref="L238:L240" si="62">ROUNDUP(K238*E238,0)</f>
        <v>0</v>
      </c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9.5" customHeight="1">
      <c r="A239" s="76" t="s">
        <v>339</v>
      </c>
      <c r="B239" s="76">
        <v>2</v>
      </c>
      <c r="C239" s="77" t="s">
        <v>340</v>
      </c>
      <c r="D239" s="77"/>
      <c r="E239" s="77"/>
      <c r="F239" s="77"/>
      <c r="G239" s="77"/>
      <c r="H239" s="77"/>
      <c r="I239" s="24"/>
      <c r="J239" s="24"/>
      <c r="K239" s="39">
        <f>SUMIF('Composição dos serv'!A:A,'PESM Itutinga Piloes pt2'!B239,'Composição dos serv'!K:K)</f>
        <v>0</v>
      </c>
      <c r="L239" s="40">
        <f t="shared" si="62"/>
        <v>0</v>
      </c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6" customHeight="1">
      <c r="A240" s="26"/>
      <c r="B240" s="66"/>
      <c r="C240" s="66"/>
      <c r="D240" s="66"/>
      <c r="E240" s="66"/>
      <c r="F240" s="66"/>
      <c r="G240" s="66"/>
      <c r="H240" s="66"/>
      <c r="I240" s="24"/>
      <c r="J240" s="24"/>
      <c r="K240" s="39">
        <f>SUMIF('Composição dos serv'!A:A,'PESM Itutinga Piloes pt2'!B240,'Composição dos serv'!K:K)</f>
        <v>0</v>
      </c>
      <c r="L240" s="40">
        <f t="shared" si="62"/>
        <v>0</v>
      </c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4.25" customHeight="1">
      <c r="A241" s="33" t="str">
        <f>CONCATENATE(A239,".1")</f>
        <v>D32.1</v>
      </c>
      <c r="B241" s="33" t="s">
        <v>67</v>
      </c>
      <c r="C241" s="48" t="str">
        <f>VLOOKUP(B241,'Composição dos serv'!A:I,3,FALSE)</f>
        <v>DEMOLIÇÃO DE CALÇADAS E/OU CAMINHOS</v>
      </c>
      <c r="D241" s="48"/>
      <c r="E241" s="48"/>
      <c r="F241" s="48"/>
      <c r="G241" s="48"/>
      <c r="H241" s="48"/>
      <c r="I241" s="24"/>
      <c r="J241" s="24"/>
      <c r="K241" s="31"/>
      <c r="L241" s="32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4.25" hidden="1" customHeight="1">
      <c r="A242" s="26" t="str">
        <f>A241</f>
        <v>D32.1</v>
      </c>
      <c r="B242" s="26" t="s">
        <v>69</v>
      </c>
      <c r="C242" s="49" t="str">
        <f>VLOOKUP(B242,'Composição dos serv'!A:I,3,FALSE)</f>
        <v>Demolição de calçada ou caminhos</v>
      </c>
      <c r="D242" s="50" t="str">
        <f>VLOOKUP(B242,'Composição dos serv'!A:I,4,FALSE)</f>
        <v>m²</v>
      </c>
      <c r="E242" s="49"/>
      <c r="F242" s="49">
        <f>ROUNDUP(E242*0.15,2)</f>
        <v>0</v>
      </c>
      <c r="G242" s="51">
        <f>SUMIF('Composição dos serv'!A:A,'PESM Itutinga Piloes pt2'!B242,'Composição dos serv'!I:I)</f>
        <v>0</v>
      </c>
      <c r="H242" s="51">
        <f t="shared" ref="H242:H243" si="63">E242*G242</f>
        <v>0</v>
      </c>
      <c r="I242" s="24"/>
      <c r="J242" s="24"/>
      <c r="K242" s="39">
        <f>SUMIF('Composição dos serv'!A:A,B242,'Composição dos serv'!K:K)</f>
        <v>0.12</v>
      </c>
      <c r="L242" s="40">
        <f t="shared" ref="L242:L272" si="64">ROUNDUP(K242*E242,0)</f>
        <v>0</v>
      </c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4.25" hidden="1" customHeight="1">
      <c r="A243" s="26" t="str">
        <f>A241</f>
        <v>D32.1</v>
      </c>
      <c r="B243" s="26" t="s">
        <v>75</v>
      </c>
      <c r="C243" s="37" t="str">
        <f>VLOOKUP(B243,'Composição dos serv'!A:I,3,FALSE)</f>
        <v>Demolição de via Asfaltada, em paralelepípedo ou intertravados</v>
      </c>
      <c r="D243" s="26" t="str">
        <f>VLOOKUP(B243,'Composição dos serv'!A:I,4,FALSE)</f>
        <v>m²</v>
      </c>
      <c r="E243" s="37"/>
      <c r="F243" s="37">
        <f>ROUNDUP(E243*0.2,2)</f>
        <v>0</v>
      </c>
      <c r="G243" s="38">
        <f>SUMIF('Composição dos serv'!A:A,'PESM Itutinga Piloes pt2'!B243,'Composição dos serv'!I:I)</f>
        <v>0</v>
      </c>
      <c r="H243" s="38">
        <f t="shared" si="63"/>
        <v>0</v>
      </c>
      <c r="I243" s="24"/>
      <c r="J243" s="24"/>
      <c r="K243" s="39">
        <f>SUMIF('Composição dos serv'!A:A,B243,'Composição dos serv'!K:K)</f>
        <v>0.06</v>
      </c>
      <c r="L243" s="40">
        <f t="shared" si="64"/>
        <v>0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14.25" customHeight="1">
      <c r="A244" s="33" t="str">
        <f>CONCATENATE(A239,".2")</f>
        <v>D32.2</v>
      </c>
      <c r="B244" s="33" t="s">
        <v>85</v>
      </c>
      <c r="C244" s="34" t="str">
        <f>VLOOKUP(B244,'Composição dos serv'!A:I,3,FALSE)</f>
        <v>DEMOLIÇÃO DE MUROS E CERCAS</v>
      </c>
      <c r="D244" s="35"/>
      <c r="E244" s="35"/>
      <c r="F244" s="35"/>
      <c r="G244" s="35"/>
      <c r="H244" s="36"/>
      <c r="I244" s="24"/>
      <c r="J244" s="24"/>
      <c r="K244" s="39">
        <f>SUMIF('Composição dos serv'!A:A,B244,'Composição dos serv'!K:K)</f>
        <v>0</v>
      </c>
      <c r="L244" s="40">
        <f t="shared" si="64"/>
        <v>0</v>
      </c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4.25" hidden="1" customHeight="1">
      <c r="A245" s="26" t="str">
        <f>A244</f>
        <v>D32.2</v>
      </c>
      <c r="B245" s="26" t="s">
        <v>87</v>
      </c>
      <c r="C245" s="37" t="str">
        <f>VLOOKUP(B245,'Composição dos serv'!A:I,3,FALSE)</f>
        <v>Demolição de muro em alvenaria ou alambrados</v>
      </c>
      <c r="D245" s="26" t="str">
        <f>VLOOKUP(B245,'Composição dos serv'!A:I,4,FALSE)</f>
        <v>m</v>
      </c>
      <c r="E245" s="37"/>
      <c r="F245" s="37">
        <f>ROUNDUP(E245*0.2*2.4,2)</f>
        <v>0</v>
      </c>
      <c r="G245" s="38">
        <f>SUMIF('Composição dos serv'!A:A,'PESM Itutinga Piloes pt2'!B245,'Composição dos serv'!I:I)</f>
        <v>0</v>
      </c>
      <c r="H245" s="38">
        <f t="shared" ref="H245:H246" si="65">E245*G245</f>
        <v>0</v>
      </c>
      <c r="I245" s="24"/>
      <c r="J245" s="24"/>
      <c r="K245" s="39">
        <f>SUMIF('Composição dos serv'!A:A,B245,'Composição dos serv'!K:K)</f>
        <v>0.26</v>
      </c>
      <c r="L245" s="40">
        <f t="shared" si="64"/>
        <v>0</v>
      </c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14.25" customHeight="1">
      <c r="A246" s="26" t="str">
        <f>A244</f>
        <v>D32.2</v>
      </c>
      <c r="B246" s="26" t="s">
        <v>93</v>
      </c>
      <c r="C246" s="37" t="str">
        <f>VLOOKUP(B246,'Composição dos serv'!A:I,3,FALSE)</f>
        <v>Demolição de Cercas</v>
      </c>
      <c r="D246" s="26" t="str">
        <f>VLOOKUP(B246,'Composição dos serv'!A:I,4,FALSE)</f>
        <v>m</v>
      </c>
      <c r="E246" s="37">
        <v>80</v>
      </c>
      <c r="F246" s="37">
        <f>ROUNDUP(E246*0.1*1.8,2)</f>
        <v>14.4</v>
      </c>
      <c r="G246" s="38">
        <f>SUMIF('Composição dos serv'!A:A,'PESM Itutinga Piloes pt2'!B246,'Composição dos serv'!I:I)</f>
        <v>0</v>
      </c>
      <c r="H246" s="38">
        <f t="shared" si="65"/>
        <v>0</v>
      </c>
      <c r="I246" s="24"/>
      <c r="J246" s="24"/>
      <c r="K246" s="39">
        <f>SUMIF('Composição dos serv'!A:A,B246,'Composição dos serv'!K:K)</f>
        <v>0.06</v>
      </c>
      <c r="L246" s="40">
        <f t="shared" si="64"/>
        <v>5</v>
      </c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14.25" customHeight="1">
      <c r="A247" s="33" t="str">
        <f>CONCATENATE(A239,".3")</f>
        <v>D32.3</v>
      </c>
      <c r="B247" s="33" t="s">
        <v>99</v>
      </c>
      <c r="C247" s="48" t="str">
        <f>VLOOKUP(B247,'Composição dos serv'!A:I,3,FALSE)</f>
        <v>COBERTURA</v>
      </c>
      <c r="D247" s="48"/>
      <c r="E247" s="48"/>
      <c r="F247" s="48"/>
      <c r="G247" s="48"/>
      <c r="H247" s="48"/>
      <c r="I247" s="24"/>
      <c r="J247" s="24"/>
      <c r="K247" s="39">
        <f>SUMIF('Composição dos serv'!A:A,B247,'Composição dos serv'!K:K)</f>
        <v>0</v>
      </c>
      <c r="L247" s="40">
        <f t="shared" si="64"/>
        <v>0</v>
      </c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4.25" hidden="1" customHeight="1">
      <c r="A248" s="26" t="str">
        <f t="shared" ref="A248:A253" si="66">A247</f>
        <v>D32.3</v>
      </c>
      <c r="B248" s="26" t="s">
        <v>101</v>
      </c>
      <c r="C248" s="37" t="str">
        <f>VLOOKUP(B248,'Composição dos serv'!A:I,3,FALSE)</f>
        <v>Retirada de Estrutura de madeira sem telhas</v>
      </c>
      <c r="D248" s="26" t="str">
        <f>VLOOKUP(B248,'Composição dos serv'!A:I,4,FALSE)</f>
        <v>m²</v>
      </c>
      <c r="E248" s="37"/>
      <c r="F248" s="37">
        <f>ROUNDUP(E248*0.2,2)</f>
        <v>0</v>
      </c>
      <c r="G248" s="38">
        <f>SUMIF('Composição dos serv'!A:A,'PESM Itutinga Piloes pt2'!B248,'Composição dos serv'!I:I)</f>
        <v>0</v>
      </c>
      <c r="H248" s="38">
        <f t="shared" ref="H248:H253" si="67">E248*G248</f>
        <v>0</v>
      </c>
      <c r="I248" s="24"/>
      <c r="J248" s="24"/>
      <c r="K248" s="39">
        <f>SUMIF('Composição dos serv'!A:A,B248,'Composição dos serv'!K:K)</f>
        <v>0.03</v>
      </c>
      <c r="L248" s="40">
        <f t="shared" si="64"/>
        <v>0</v>
      </c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ht="14.25" hidden="1" customHeight="1">
      <c r="A249" s="26" t="str">
        <f t="shared" si="66"/>
        <v>D32.3</v>
      </c>
      <c r="B249" s="26" t="s">
        <v>105</v>
      </c>
      <c r="C249" s="37" t="str">
        <f>VLOOKUP(B249,'Composição dos serv'!A:I,3,FALSE)</f>
        <v>Retirada de Telhas de Barro com Estrutura em madeira (tesouras, treliças,...)</v>
      </c>
      <c r="D249" s="26" t="str">
        <f>VLOOKUP(B249,'Composição dos serv'!A:I,4,FALSE)</f>
        <v>m²</v>
      </c>
      <c r="E249" s="37"/>
      <c r="F249" s="37">
        <f>ROUNDUP(E249*0.08+E249*0.2,2)</f>
        <v>0</v>
      </c>
      <c r="G249" s="38">
        <f>SUMIF('Composição dos serv'!A:A,'PESM Itutinga Piloes pt2'!B249,'Composição dos serv'!I:I)</f>
        <v>0</v>
      </c>
      <c r="H249" s="38">
        <f t="shared" si="67"/>
        <v>0</v>
      </c>
      <c r="I249" s="24"/>
      <c r="J249" s="24"/>
      <c r="K249" s="39">
        <f>SUMIF('Composição dos serv'!A:A,B249,'Composição dos serv'!K:K)</f>
        <v>0.06</v>
      </c>
      <c r="L249" s="40">
        <f t="shared" si="64"/>
        <v>0</v>
      </c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14.25" hidden="1" customHeight="1">
      <c r="A250" s="26" t="str">
        <f t="shared" si="66"/>
        <v>D32.3</v>
      </c>
      <c r="B250" s="26" t="s">
        <v>111</v>
      </c>
      <c r="C250" s="37" t="str">
        <f>VLOOKUP(B250,'Composição dos serv'!A:I,3,FALSE)</f>
        <v>Retirada de Telhas de amianto Sem Estrutura</v>
      </c>
      <c r="D250" s="26" t="str">
        <f>VLOOKUP(B250,'Composição dos serv'!A:I,4,FALSE)</f>
        <v>m²</v>
      </c>
      <c r="E250" s="37"/>
      <c r="F250" s="37"/>
      <c r="G250" s="38">
        <f>SUMIF('Composição dos serv'!A:A,'PESM Itutinga Piloes pt2'!B250,'Composição dos serv'!I:I)</f>
        <v>0</v>
      </c>
      <c r="H250" s="38">
        <f t="shared" si="67"/>
        <v>0</v>
      </c>
      <c r="I250" s="24"/>
      <c r="J250" s="24"/>
      <c r="K250" s="39">
        <f>SUMIF('Composição dos serv'!A:A,B250,'Composição dos serv'!K:K)</f>
        <v>0.02</v>
      </c>
      <c r="L250" s="40">
        <f t="shared" si="64"/>
        <v>0</v>
      </c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14.25" customHeight="1">
      <c r="A251" s="26" t="str">
        <f t="shared" si="66"/>
        <v>D32.3</v>
      </c>
      <c r="B251" s="26" t="s">
        <v>117</v>
      </c>
      <c r="C251" s="37" t="str">
        <f>VLOOKUP(B251,'Composição dos serv'!A:I,3,FALSE)</f>
        <v>Retirada de Telhas de amianto com Estrutura em madeira (tesouras, treliças,...)</v>
      </c>
      <c r="D251" s="26" t="str">
        <f>VLOOKUP(B251,'Composição dos serv'!A:I,4,FALSE)</f>
        <v>m²</v>
      </c>
      <c r="E251" s="37">
        <v>24</v>
      </c>
      <c r="F251" s="37">
        <f>ROUNDUP(E251*0.1,2)</f>
        <v>2.4</v>
      </c>
      <c r="G251" s="38">
        <f>SUMIF('Composição dos serv'!A:A,'PESM Itutinga Piloes pt2'!B251,'Composição dos serv'!I:I)</f>
        <v>0</v>
      </c>
      <c r="H251" s="38">
        <f t="shared" si="67"/>
        <v>0</v>
      </c>
      <c r="I251" s="24"/>
      <c r="J251" s="24"/>
      <c r="K251" s="39">
        <f>SUMIF('Composição dos serv'!A:A,B251,'Composição dos serv'!K:K)</f>
        <v>0.04</v>
      </c>
      <c r="L251" s="40">
        <f t="shared" si="64"/>
        <v>1</v>
      </c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14.25" hidden="1" customHeight="1">
      <c r="A252" s="26" t="str">
        <f t="shared" si="66"/>
        <v>D32.3</v>
      </c>
      <c r="B252" s="26" t="s">
        <v>121</v>
      </c>
      <c r="C252" s="37" t="str">
        <f>VLOOKUP(B252,'Composição dos serv'!A:I,3,FALSE)</f>
        <v>Retirada de Laje em concreto</v>
      </c>
      <c r="D252" s="26" t="str">
        <f>VLOOKUP(B252,'Composição dos serv'!A:I,4,FALSE)</f>
        <v>m²</v>
      </c>
      <c r="E252" s="37"/>
      <c r="F252" s="37">
        <f>ROUNDUP(E252*0.12,2)</f>
        <v>0</v>
      </c>
      <c r="G252" s="38">
        <f>SUMIF('Composição dos serv'!A:A,'PESM Itutinga Piloes pt2'!B252,'Composição dos serv'!I:I)</f>
        <v>0</v>
      </c>
      <c r="H252" s="38">
        <f t="shared" si="67"/>
        <v>0</v>
      </c>
      <c r="I252" s="24"/>
      <c r="J252" s="24"/>
      <c r="K252" s="39">
        <f>SUMIF('Composição dos serv'!A:A,B252,'Composição dos serv'!K:K)</f>
        <v>0.09</v>
      </c>
      <c r="L252" s="40">
        <f t="shared" si="64"/>
        <v>0</v>
      </c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14.25" customHeight="1">
      <c r="A253" s="26" t="str">
        <f t="shared" si="66"/>
        <v>D32.3</v>
      </c>
      <c r="B253" s="26" t="s">
        <v>129</v>
      </c>
      <c r="C253" s="37" t="str">
        <f>VLOOKUP(B253,'Composição dos serv'!A:I,3,FALSE)</f>
        <v>Retirada de Forros qualquer com sistema de fixação</v>
      </c>
      <c r="D253" s="26" t="str">
        <f>VLOOKUP(B253,'Composição dos serv'!A:I,4,FALSE)</f>
        <v>m²</v>
      </c>
      <c r="E253" s="37">
        <v>14</v>
      </c>
      <c r="F253" s="37">
        <f>ROUNDUP(E253*0.1,2)</f>
        <v>1.4</v>
      </c>
      <c r="G253" s="38">
        <f>SUMIF('Composição dos serv'!A:A,'PESM Itutinga Piloes pt2'!B253,'Composição dos serv'!I:I)</f>
        <v>0</v>
      </c>
      <c r="H253" s="38">
        <f t="shared" si="67"/>
        <v>0</v>
      </c>
      <c r="I253" s="24"/>
      <c r="J253" s="24"/>
      <c r="K253" s="39">
        <f>SUMIF('Composição dos serv'!A:A,B253,'Composição dos serv'!K:K)</f>
        <v>0.04</v>
      </c>
      <c r="L253" s="40">
        <f t="shared" si="64"/>
        <v>1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14.25" customHeight="1">
      <c r="A254" s="33" t="str">
        <f>CONCATENATE(A239,".4")</f>
        <v>D32.4</v>
      </c>
      <c r="B254" s="33" t="s">
        <v>133</v>
      </c>
      <c r="C254" s="34" t="str">
        <f>VLOOKUP(B254,'Composição dos serv'!A:I,3,FALSE)</f>
        <v>PAREDES</v>
      </c>
      <c r="D254" s="35"/>
      <c r="E254" s="35"/>
      <c r="F254" s="35"/>
      <c r="G254" s="35"/>
      <c r="H254" s="36"/>
      <c r="I254" s="24"/>
      <c r="J254" s="24"/>
      <c r="K254" s="39">
        <f>SUMIF('Composição dos serv'!A:A,B254,'Composição dos serv'!K:K)</f>
        <v>0</v>
      </c>
      <c r="L254" s="40">
        <f t="shared" si="64"/>
        <v>0</v>
      </c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14.25" customHeight="1">
      <c r="A255" s="26" t="str">
        <f>A254</f>
        <v>D32.4</v>
      </c>
      <c r="B255" s="26" t="s">
        <v>135</v>
      </c>
      <c r="C255" s="37" t="str">
        <f>VLOOKUP(B255,'Composição dos serv'!A:I,3,FALSE)</f>
        <v>Parede em Alvenaria - usar área construida</v>
      </c>
      <c r="D255" s="26" t="str">
        <f>VLOOKUP(B255,'Composição dos serv'!A:I,4,FALSE)</f>
        <v>m²</v>
      </c>
      <c r="E255" s="49">
        <v>24</v>
      </c>
      <c r="F255" s="37">
        <f>ROUNDUP(E255*0.8,2)</f>
        <v>19.2</v>
      </c>
      <c r="G255" s="38">
        <f>SUMIF('Composição dos serv'!A:A,B255,'Composição dos serv'!I:I)</f>
        <v>0</v>
      </c>
      <c r="H255" s="38">
        <f t="shared" ref="H255:H257" si="68">E255*G255</f>
        <v>0</v>
      </c>
      <c r="I255" s="24"/>
      <c r="J255" s="24"/>
      <c r="K255" s="39">
        <f>SUMIF('Composição dos serv'!A:A,B255,'Composição dos serv'!K:K)</f>
        <v>0.15000000000000002</v>
      </c>
      <c r="L255" s="40">
        <f t="shared" si="64"/>
        <v>4</v>
      </c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14.25" hidden="1" customHeight="1">
      <c r="A256" s="26" t="str">
        <f>A254</f>
        <v>D32.4</v>
      </c>
      <c r="B256" s="26" t="s">
        <v>143</v>
      </c>
      <c r="C256" s="37" t="str">
        <f>VLOOKUP(B256,'Composição dos serv'!A:I,3,FALSE)</f>
        <v>Parede em Madeirite - Chapas de madeira compensada ou aglomerada - área construída</v>
      </c>
      <c r="D256" s="26" t="str">
        <f>VLOOKUP(B256,'Composição dos serv'!A:I,4,FALSE)</f>
        <v>m²</v>
      </c>
      <c r="E256" s="37"/>
      <c r="F256" s="37">
        <f>ROUNDUP(E256*0.21,2)</f>
        <v>0</v>
      </c>
      <c r="G256" s="38">
        <f>SUMIF('Composição dos serv'!A:A,B256,'Composição dos serv'!I:I)</f>
        <v>0</v>
      </c>
      <c r="H256" s="38">
        <f t="shared" si="68"/>
        <v>0</v>
      </c>
      <c r="I256" s="24"/>
      <c r="J256" s="24"/>
      <c r="K256" s="39">
        <f>SUMIF('Composição dos serv'!A:A,B256,'Composição dos serv'!K:K)</f>
        <v>0.15000000000000002</v>
      </c>
      <c r="L256" s="40">
        <f t="shared" si="64"/>
        <v>0</v>
      </c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14.25" hidden="1" customHeight="1">
      <c r="A257" s="26" t="str">
        <f>A254</f>
        <v>D32.4</v>
      </c>
      <c r="B257" s="26" t="s">
        <v>145</v>
      </c>
      <c r="C257" s="37" t="str">
        <f>VLOOKUP(B257,'Composição dos serv'!A:I,3,FALSE)</f>
        <v>Parede em Lambril de madeira - área construída</v>
      </c>
      <c r="D257" s="26" t="str">
        <f>VLOOKUP(B257,'Composição dos serv'!A:I,4,FALSE)</f>
        <v>m²</v>
      </c>
      <c r="E257" s="37"/>
      <c r="F257" s="37">
        <f>ROUNDUP(E257*4*0.12,2)</f>
        <v>0</v>
      </c>
      <c r="G257" s="38">
        <f>SUMIF('Composição dos serv'!A:A,B257,'Composição dos serv'!I:I)</f>
        <v>0</v>
      </c>
      <c r="H257" s="38">
        <f t="shared" si="68"/>
        <v>0</v>
      </c>
      <c r="I257" s="24"/>
      <c r="J257" s="24"/>
      <c r="K257" s="39">
        <f>SUMIF('Composição dos serv'!A:A,B257,'Composição dos serv'!K:K)</f>
        <v>0.35000000000000009</v>
      </c>
      <c r="L257" s="40">
        <f t="shared" si="64"/>
        <v>0</v>
      </c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14.25" customHeight="1">
      <c r="A258" s="33" t="str">
        <f>CONCATENATE(A239,".5")</f>
        <v>D32.5</v>
      </c>
      <c r="B258" s="33" t="s">
        <v>153</v>
      </c>
      <c r="C258" s="34" t="str">
        <f>VLOOKUP(B258,'Composição dos serv'!A:I,3,FALSE)</f>
        <v>PISO E FUNDAÇÃO</v>
      </c>
      <c r="D258" s="35"/>
      <c r="E258" s="35"/>
      <c r="F258" s="35"/>
      <c r="G258" s="35"/>
      <c r="H258" s="36"/>
      <c r="I258" s="24"/>
      <c r="J258" s="24"/>
      <c r="K258" s="39">
        <f>SUMIF('Composição dos serv'!A:A,B258,'Composição dos serv'!K:K)</f>
        <v>0</v>
      </c>
      <c r="L258" s="40">
        <f t="shared" si="64"/>
        <v>0</v>
      </c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14.25" hidden="1" customHeight="1">
      <c r="A259" s="26" t="str">
        <f>A258</f>
        <v>D32.5</v>
      </c>
      <c r="B259" s="26" t="s">
        <v>155</v>
      </c>
      <c r="C259" s="37" t="str">
        <f>VLOOKUP(B259,'Composição dos serv'!A:I,3,FALSE)</f>
        <v>Piso da edificação com fundação</v>
      </c>
      <c r="D259" s="26" t="str">
        <f>VLOOKUP(B259,'Composição dos serv'!A:I,4,FALSE)</f>
        <v>m²</v>
      </c>
      <c r="E259" s="37"/>
      <c r="F259" s="37">
        <f>ROUNDUP(E259*0.24,2)</f>
        <v>0</v>
      </c>
      <c r="G259" s="38">
        <f>SUMIF('Composição dos serv'!A:A,B259,'Composição dos serv'!I:I)</f>
        <v>0</v>
      </c>
      <c r="H259" s="38">
        <f>E259*G259</f>
        <v>0</v>
      </c>
      <c r="I259" s="24"/>
      <c r="J259" s="24"/>
      <c r="K259" s="39">
        <f>SUMIF('Composição dos serv'!A:A,B259,'Composição dos serv'!K:K)</f>
        <v>0.17</v>
      </c>
      <c r="L259" s="40">
        <f t="shared" si="64"/>
        <v>0</v>
      </c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14.25" customHeight="1">
      <c r="A260" s="33" t="str">
        <f>CONCATENATE(A239,".6")</f>
        <v>D32.6</v>
      </c>
      <c r="B260" s="33" t="s">
        <v>161</v>
      </c>
      <c r="C260" s="48" t="str">
        <f>VLOOKUP(B260,'Composição dos serv'!A:I,3,FALSE)</f>
        <v>ESTRUTURAS DIVERSAS</v>
      </c>
      <c r="D260" s="48"/>
      <c r="E260" s="48"/>
      <c r="F260" s="48"/>
      <c r="G260" s="48"/>
      <c r="H260" s="48"/>
      <c r="I260" s="24"/>
      <c r="J260" s="24"/>
      <c r="K260" s="39">
        <f>SUMIF('Composição dos serv'!A:A,B260,'Composição dos serv'!K:K)</f>
        <v>0</v>
      </c>
      <c r="L260" s="40">
        <f t="shared" si="64"/>
        <v>0</v>
      </c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14.25" hidden="1" customHeight="1">
      <c r="A261" s="26" t="str">
        <f>A260</f>
        <v>D32.6</v>
      </c>
      <c r="B261" s="26" t="s">
        <v>163</v>
      </c>
      <c r="C261" s="37" t="str">
        <f>VLOOKUP(B261,'Composição dos serv'!A:I,3,FALSE)</f>
        <v>Escada em concreto com corrimão</v>
      </c>
      <c r="D261" s="26" t="str">
        <f>VLOOKUP(B261,'Composição dos serv'!A:I,4,FALSE)</f>
        <v>m</v>
      </c>
      <c r="E261" s="49"/>
      <c r="F261" s="37">
        <f>ROUNDUP(E261*1.2*0.25,2)</f>
        <v>0</v>
      </c>
      <c r="G261" s="38">
        <f>SUMIF('Composição dos serv'!A:A,'PESM Itutinga Piloes pt2'!B261,'Composição dos serv'!I:I)</f>
        <v>0</v>
      </c>
      <c r="H261" s="38">
        <f t="shared" ref="H261:H264" si="69">E261*G261</f>
        <v>0</v>
      </c>
      <c r="I261" s="24"/>
      <c r="J261" s="24"/>
      <c r="K261" s="39">
        <f>SUMIF('Composição dos serv'!A:A,B261,'Composição dos serv'!K:K)</f>
        <v>0.39</v>
      </c>
      <c r="L261" s="40">
        <f t="shared" si="64"/>
        <v>0</v>
      </c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14.25" customHeight="1">
      <c r="A262" s="26" t="str">
        <f>A260</f>
        <v>D32.6</v>
      </c>
      <c r="B262" s="26" t="s">
        <v>169</v>
      </c>
      <c r="C262" s="37" t="str">
        <f>VLOOKUP(B262,'Composição dos serv'!A:I,3,FALSE)</f>
        <v>Entrada de Energia - medidor</v>
      </c>
      <c r="D262" s="26" t="str">
        <f>VLOOKUP(B262,'Composição dos serv'!A:I,4,FALSE)</f>
        <v>un</v>
      </c>
      <c r="E262" s="37">
        <v>1</v>
      </c>
      <c r="F262" s="37">
        <f>ROUNDUP(E262*(3.2+(((3.1415*0.4^2)/4)*6)),2)</f>
        <v>3.96</v>
      </c>
      <c r="G262" s="38">
        <f>SUMIF('Composição dos serv'!A:A,'PESM Itutinga Piloes pt2'!B262,'Composição dos serv'!I:I)</f>
        <v>0</v>
      </c>
      <c r="H262" s="38">
        <f t="shared" si="69"/>
        <v>0</v>
      </c>
      <c r="I262" s="24"/>
      <c r="J262" s="24"/>
      <c r="K262" s="39">
        <f>SUMIF('Composição dos serv'!A:A,B262,'Composição dos serv'!K:K)</f>
        <v>1.7600000000000002</v>
      </c>
      <c r="L262" s="40">
        <f t="shared" si="64"/>
        <v>2</v>
      </c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14.25" customHeight="1">
      <c r="A263" s="26" t="str">
        <f>A260</f>
        <v>D32.6</v>
      </c>
      <c r="B263" s="26" t="s">
        <v>183</v>
      </c>
      <c r="C263" s="37" t="str">
        <f>VLOOKUP(B263,'Composição dos serv'!A:I,3,FALSE)</f>
        <v>Hidrômetro com abrigo</v>
      </c>
      <c r="D263" s="26" t="str">
        <f>VLOOKUP(B263,'Composição dos serv'!A:I,4,FALSE)</f>
        <v>un</v>
      </c>
      <c r="E263" s="37">
        <v>1</v>
      </c>
      <c r="F263" s="37">
        <f>ROUNDUP(E263*(1.7+0.1),2)</f>
        <v>1.8</v>
      </c>
      <c r="G263" s="38">
        <f>SUMIF('Composição dos serv'!A:A,'PESM Itutinga Piloes pt2'!B263,'Composição dos serv'!I:I)</f>
        <v>0</v>
      </c>
      <c r="H263" s="38">
        <f t="shared" si="69"/>
        <v>0</v>
      </c>
      <c r="I263" s="24"/>
      <c r="J263" s="24"/>
      <c r="K263" s="39">
        <f>SUMIF('Composição dos serv'!A:A,B263,'Composição dos serv'!K:K)</f>
        <v>0.44000000000000006</v>
      </c>
      <c r="L263" s="40">
        <f t="shared" si="64"/>
        <v>1</v>
      </c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14.25" customHeight="1">
      <c r="A264" s="26" t="str">
        <f>A262</f>
        <v>D32.6</v>
      </c>
      <c r="B264" s="26" t="s">
        <v>191</v>
      </c>
      <c r="C264" s="37" t="str">
        <f>VLOOKUP(B264,'Composição dos serv'!A:I,3,FALSE)</f>
        <v>Aterro de Fossa com retirada de tampa</v>
      </c>
      <c r="D264" s="26" t="str">
        <f>VLOOKUP(B264,'Composição dos serv'!A:I,4,FALSE)</f>
        <v>un</v>
      </c>
      <c r="E264" s="37">
        <v>1</v>
      </c>
      <c r="F264" s="37">
        <f>ROUNDUP(E264*(0.4),2)</f>
        <v>0.4</v>
      </c>
      <c r="G264" s="38">
        <f>SUMIF('Composição dos serv'!A:A,'PESM Itutinga Piloes pt2'!B264,'Composição dos serv'!I:I)</f>
        <v>0</v>
      </c>
      <c r="H264" s="38">
        <f t="shared" si="69"/>
        <v>0</v>
      </c>
      <c r="I264" s="24"/>
      <c r="J264" s="24"/>
      <c r="K264" s="39">
        <f>SUMIF('Composição dos serv'!A:A,B264,'Composição dos serv'!K:K)</f>
        <v>0.85000000000000009</v>
      </c>
      <c r="L264" s="40">
        <f t="shared" si="64"/>
        <v>1</v>
      </c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14.25" customHeight="1">
      <c r="A265" s="33" t="str">
        <f>CONCATENATE(A239,".7")</f>
        <v>D32.7</v>
      </c>
      <c r="B265" s="33" t="s">
        <v>195</v>
      </c>
      <c r="C265" s="48" t="str">
        <f>VLOOKUP(B265,'Composição dos serv'!A:I,3,FALSE)</f>
        <v>ACABAMENTOS DIVERSOS e OUTROS</v>
      </c>
      <c r="D265" s="48"/>
      <c r="E265" s="48"/>
      <c r="F265" s="48"/>
      <c r="G265" s="48"/>
      <c r="H265" s="48"/>
      <c r="I265" s="24"/>
      <c r="J265" s="24"/>
      <c r="K265" s="39">
        <f>SUMIF('Composição dos serv'!A:A,B265,'Composição dos serv'!K:K)</f>
        <v>0</v>
      </c>
      <c r="L265" s="40">
        <f t="shared" si="64"/>
        <v>0</v>
      </c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14.25" hidden="1" customHeight="1">
      <c r="A266" s="26" t="str">
        <f>A265</f>
        <v>D32.7</v>
      </c>
      <c r="B266" s="50" t="s">
        <v>197</v>
      </c>
      <c r="C266" s="49" t="str">
        <f>VLOOKUP(B266,'Composição dos serv'!A:I,3,FALSE)</f>
        <v>Remoção de aparelhos sanitarios - por banheiro</v>
      </c>
      <c r="D266" s="50" t="str">
        <f>VLOOKUP(B266,'Composição dos serv'!A:I,4,FALSE)</f>
        <v>unid</v>
      </c>
      <c r="E266" s="49"/>
      <c r="F266" s="37">
        <f t="shared" ref="F266:F268" si="70">ROUNDUP(E266*1,2)</f>
        <v>0</v>
      </c>
      <c r="G266" s="51">
        <f>SUMIF('Composição dos serv'!A:A,B266,'Composição dos serv'!I:I)</f>
        <v>0</v>
      </c>
      <c r="H266" s="51">
        <f t="shared" ref="H266:H272" si="71">E266*G266</f>
        <v>0</v>
      </c>
      <c r="I266" s="24"/>
      <c r="J266" s="24"/>
      <c r="K266" s="39">
        <f>SUMIF('Composição dos serv'!A:A,B266,'Composição dos serv'!K:K)</f>
        <v>0.19</v>
      </c>
      <c r="L266" s="40">
        <f t="shared" si="64"/>
        <v>0</v>
      </c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14.25" hidden="1" customHeight="1">
      <c r="A267" s="26" t="str">
        <f>A265</f>
        <v>D32.7</v>
      </c>
      <c r="B267" s="50" t="s">
        <v>209</v>
      </c>
      <c r="C267" s="37" t="str">
        <f>VLOOKUP(B267,'Composição dos serv'!A:I,3,FALSE)</f>
        <v>Remoção de aparelhos sanitarios - Cozinha e Área de Serviço</v>
      </c>
      <c r="D267" s="26" t="str">
        <f>VLOOKUP(B267,'Composição dos serv'!A:I,4,FALSE)</f>
        <v>unid</v>
      </c>
      <c r="E267" s="37"/>
      <c r="F267" s="37">
        <f t="shared" si="70"/>
        <v>0</v>
      </c>
      <c r="G267" s="51">
        <f>SUMIF('Composição dos serv'!A:A,B267,'Composição dos serv'!I:I)</f>
        <v>0</v>
      </c>
      <c r="H267" s="38">
        <f t="shared" si="71"/>
        <v>0</v>
      </c>
      <c r="I267" s="24"/>
      <c r="J267" s="24"/>
      <c r="K267" s="39">
        <f>SUMIF('Composição dos serv'!A:A,B267,'Composição dos serv'!K:K)</f>
        <v>0.21</v>
      </c>
      <c r="L267" s="40">
        <f t="shared" si="64"/>
        <v>0</v>
      </c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14.25" hidden="1" customHeight="1">
      <c r="A268" s="26" t="str">
        <f>A265</f>
        <v>D32.7</v>
      </c>
      <c r="B268" s="50" t="s">
        <v>215</v>
      </c>
      <c r="C268" s="37" t="str">
        <f>VLOOKUP(B268,'Composição dos serv'!A:I,3,FALSE)</f>
        <v>Remoção de caixa d'agua</v>
      </c>
      <c r="D268" s="26" t="str">
        <f>VLOOKUP(B268,'Composição dos serv'!A:I,4,FALSE)</f>
        <v>unid</v>
      </c>
      <c r="E268" s="37"/>
      <c r="F268" s="37">
        <f t="shared" si="70"/>
        <v>0</v>
      </c>
      <c r="G268" s="51">
        <f>SUMIF('Composição dos serv'!A:A,B268,'Composição dos serv'!I:I)</f>
        <v>0</v>
      </c>
      <c r="H268" s="38">
        <f t="shared" si="71"/>
        <v>0</v>
      </c>
      <c r="I268" s="24"/>
      <c r="J268" s="24"/>
      <c r="K268" s="39">
        <f>SUMIF('Composição dos serv'!A:A,B268,'Composição dos serv'!K:K)</f>
        <v>0.42000000000000004</v>
      </c>
      <c r="L268" s="40">
        <f t="shared" si="64"/>
        <v>0</v>
      </c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14.25" hidden="1" customHeight="1">
      <c r="A269" s="26" t="str">
        <f>A265</f>
        <v>D32.7</v>
      </c>
      <c r="B269" s="50" t="s">
        <v>219</v>
      </c>
      <c r="C269" s="37" t="str">
        <f>VLOOKUP(B269,'Composição dos serv'!A:I,3,FALSE)</f>
        <v>Remoção do Sistema de Para raios - área do telhado</v>
      </c>
      <c r="D269" s="26" t="str">
        <f>VLOOKUP(B269,'Composição dos serv'!A:I,4,FALSE)</f>
        <v>m²</v>
      </c>
      <c r="E269" s="37"/>
      <c r="F269" s="37">
        <f>ROUNDUP(E269/60,2)</f>
        <v>0</v>
      </c>
      <c r="G269" s="51">
        <f>SUMIF('Composição dos serv'!A:A,B269,'Composição dos serv'!I:I)</f>
        <v>0</v>
      </c>
      <c r="H269" s="38">
        <f t="shared" si="71"/>
        <v>0</v>
      </c>
      <c r="I269" s="24"/>
      <c r="J269" s="24"/>
      <c r="K269" s="39">
        <f>SUMIF('Composição dos serv'!A:A,B269,'Composição dos serv'!K:K)</f>
        <v>0.05</v>
      </c>
      <c r="L269" s="40">
        <f t="shared" si="64"/>
        <v>0</v>
      </c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4.25" customHeight="1">
      <c r="A270" s="26" t="str">
        <f>A265</f>
        <v>D32.7</v>
      </c>
      <c r="B270" s="50" t="s">
        <v>227</v>
      </c>
      <c r="C270" s="37" t="str">
        <f>VLOOKUP(B270,'Composição dos serv'!A:I,3,FALSE)</f>
        <v>Janelas</v>
      </c>
      <c r="D270" s="26" t="str">
        <f>VLOOKUP(B270,'Composição dos serv'!A:I,4,FALSE)</f>
        <v>un</v>
      </c>
      <c r="E270" s="37">
        <v>3</v>
      </c>
      <c r="F270" s="37">
        <f>ROUNDUP(E270*1.5*1.2*0.2,2)</f>
        <v>1.08</v>
      </c>
      <c r="G270" s="51">
        <f>SUMIF('Composição dos serv'!A:A,B270,'Composição dos serv'!I:I)</f>
        <v>0</v>
      </c>
      <c r="H270" s="38">
        <f t="shared" si="71"/>
        <v>0</v>
      </c>
      <c r="I270" s="24"/>
      <c r="J270" s="24"/>
      <c r="K270" s="39">
        <f>SUMIF('Composição dos serv'!A:A,B270,'Composição dos serv'!K:K)</f>
        <v>0</v>
      </c>
      <c r="L270" s="40">
        <f t="shared" si="64"/>
        <v>0</v>
      </c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14.25" customHeight="1">
      <c r="A271" s="26" t="str">
        <f>A265</f>
        <v>D32.7</v>
      </c>
      <c r="B271" s="50" t="s">
        <v>234</v>
      </c>
      <c r="C271" s="37" t="str">
        <f>VLOOKUP(B271,'Composição dos serv'!A:I,3,FALSE)</f>
        <v>Portas</v>
      </c>
      <c r="D271" s="26" t="str">
        <f>VLOOKUP(B271,'Composição dos serv'!A:I,4,FALSE)</f>
        <v>un</v>
      </c>
      <c r="E271" s="37">
        <v>1</v>
      </c>
      <c r="F271" s="37">
        <f>ROUNDUP(E271*2.1*0.9*0.2,2)</f>
        <v>0.38</v>
      </c>
      <c r="G271" s="51">
        <f>SUMIF('Composição dos serv'!A:A,B271,'Composição dos serv'!I:I)</f>
        <v>0</v>
      </c>
      <c r="H271" s="38">
        <f t="shared" si="71"/>
        <v>0</v>
      </c>
      <c r="I271" s="24"/>
      <c r="J271" s="24"/>
      <c r="K271" s="39">
        <f>SUMIF('Composição dos serv'!A:A,B271,'Composição dos serv'!K:K)</f>
        <v>0</v>
      </c>
      <c r="L271" s="40">
        <f t="shared" si="64"/>
        <v>0</v>
      </c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14.25" hidden="1" customHeight="1">
      <c r="A272" s="26" t="str">
        <f>A265</f>
        <v>D32.7</v>
      </c>
      <c r="B272" s="50" t="s">
        <v>236</v>
      </c>
      <c r="C272" s="37" t="str">
        <f>VLOOKUP(B272,'Composição dos serv'!A:I,3,FALSE)</f>
        <v>Guarda corpo de metal</v>
      </c>
      <c r="D272" s="26" t="str">
        <f>VLOOKUP(B272,'Composição dos serv'!A:I,4,FALSE)</f>
        <v>m</v>
      </c>
      <c r="E272" s="37"/>
      <c r="F272" s="37">
        <f>ROUNDUP(E272*1.7*0.05,2)</f>
        <v>0</v>
      </c>
      <c r="G272" s="51">
        <f>SUMIF('Composição dos serv'!A:A,B272,'Composição dos serv'!I:I)</f>
        <v>0</v>
      </c>
      <c r="H272" s="38">
        <f t="shared" si="71"/>
        <v>0</v>
      </c>
      <c r="I272" s="24"/>
      <c r="J272" s="24"/>
      <c r="K272" s="39">
        <f>SUMIF('Composição dos serv'!A:A,B272,'Composição dos serv'!K:K)</f>
        <v>0</v>
      </c>
      <c r="L272" s="40">
        <f t="shared" si="64"/>
        <v>0</v>
      </c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14.25" customHeight="1">
      <c r="A273" s="33" t="str">
        <f>CONCATENATE(A239,".8")</f>
        <v>D32.8</v>
      </c>
      <c r="B273" s="33" t="s">
        <v>240</v>
      </c>
      <c r="C273" s="48" t="str">
        <f>VLOOKUP(B273,'Composição dos serv'!A:I,3,FALSE)</f>
        <v>ENTULHO</v>
      </c>
      <c r="D273" s="48"/>
      <c r="E273" s="48"/>
      <c r="F273" s="48"/>
      <c r="G273" s="48"/>
      <c r="H273" s="48"/>
      <c r="I273" s="24"/>
      <c r="J273" s="24"/>
      <c r="K273" s="39">
        <f>SUMIF('Composição dos serv'!A:A,B273,'Composição dos serv'!K:K)</f>
        <v>0</v>
      </c>
      <c r="L273" s="40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14.25" hidden="1" customHeight="1">
      <c r="A274" s="26" t="str">
        <f>A273</f>
        <v>D32.8</v>
      </c>
      <c r="B274" s="50" t="s">
        <v>242</v>
      </c>
      <c r="C274" s="49" t="str">
        <f>VLOOKUP(B274,'Composição dos serv'!A:I,3,FALSE)</f>
        <v>Transporte e espalhamento Manual do entulho a ser reutilizado</v>
      </c>
      <c r="D274" s="50" t="s">
        <v>291</v>
      </c>
      <c r="E274" s="49"/>
      <c r="F274" s="52">
        <f>IF(E274=1,ROUNDUP((IF(E242&lt;&gt;"",F242,0)+IF(E243&lt;&gt;"",F243,0)+IF(E245&lt;&gt;"",F245,0)+IF(E246&lt;&gt;"",F246*0.34,0)+IF(E249&lt;&gt;"",F249*0.43,0)+IF(E252&lt;&gt;"",F252*0.8,0)+IF(E255&lt;&gt;"",F255*(0.78),0)+IF(E259&lt;&gt;"",F259*0.98,0)+IF(E261&lt;&gt;"",F261*0.91,0)+IF(E262&lt;&gt;"",F262*0.26,0)+IF(E263&lt;&gt;"",F263*0.24,0)+IF(E264&lt;&gt;"",F264,0)),2),0)</f>
        <v>0</v>
      </c>
      <c r="G274" s="51">
        <f>SUMIF('Composição dos serv'!A:A,B274,'Composição dos serv'!I:I)</f>
        <v>0</v>
      </c>
      <c r="H274" s="51">
        <f t="shared" ref="H274:H275" si="72">F274*G274</f>
        <v>0</v>
      </c>
      <c r="I274" s="24"/>
      <c r="J274" s="24"/>
      <c r="K274" s="39">
        <f>SUMIF('Composição dos serv'!A:A,B274,'Composição dos serv'!K:K)</f>
        <v>0.15000000000000002</v>
      </c>
      <c r="L274" s="40">
        <f t="shared" ref="L274:L277" si="73">ROUNDUP(K274*F274,0)</f>
        <v>0</v>
      </c>
      <c r="M274" s="45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14.25" hidden="1" customHeight="1">
      <c r="A275" s="26" t="str">
        <f>A273</f>
        <v>D32.8</v>
      </c>
      <c r="B275" s="50" t="s">
        <v>246</v>
      </c>
      <c r="C275" s="49" t="str">
        <f>VLOOKUP(B275,'Composição dos serv'!A:I,3,FALSE)</f>
        <v>Remoção e Transporte Mecanizado do entulho a ser reutilizado</v>
      </c>
      <c r="D275" s="50" t="s">
        <v>291</v>
      </c>
      <c r="E275" s="49"/>
      <c r="F275" s="52">
        <f>IF(E275=1,SUM(F242:F272)-H279,0)</f>
        <v>0</v>
      </c>
      <c r="G275" s="51">
        <f>SUMIF('Composição dos serv'!A:A,B275,'Composição dos serv'!I:I)</f>
        <v>0</v>
      </c>
      <c r="H275" s="51">
        <f t="shared" si="72"/>
        <v>0</v>
      </c>
      <c r="I275" s="24"/>
      <c r="J275" s="24"/>
      <c r="K275" s="39">
        <f>SUMIF('Composição dos serv'!A:A,B275,'Composição dos serv'!K:K)</f>
        <v>0.02</v>
      </c>
      <c r="L275" s="40">
        <f t="shared" si="73"/>
        <v>0</v>
      </c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14.25" customHeight="1">
      <c r="A276" s="26" t="str">
        <f>A273</f>
        <v>D32.8</v>
      </c>
      <c r="B276" s="50" t="s">
        <v>252</v>
      </c>
      <c r="C276" s="49" t="str">
        <f>VLOOKUP(B276,'Composição dos serv'!A:I,3,FALSE)</f>
        <v>Remoção do entulho com caçamba</v>
      </c>
      <c r="D276" s="50" t="s">
        <v>291</v>
      </c>
      <c r="E276" s="49">
        <v>1</v>
      </c>
      <c r="F276" s="52">
        <f>IF(E276=1,SUM(F242:F272),0)</f>
        <v>45.019999999999996</v>
      </c>
      <c r="G276" s="51">
        <f>SUMIF('Composição dos serv'!A:A,B276,'Composição dos serv'!I:I)</f>
        <v>0</v>
      </c>
      <c r="H276" s="51">
        <f>IF(E276&gt;1,"OPÇÃO ERRADA",F276*G276)+IF(G279=1,H279*G276,0)</f>
        <v>0</v>
      </c>
      <c r="I276" s="24"/>
      <c r="J276" s="24"/>
      <c r="K276" s="39">
        <f>SUMIF('Composição dos serv'!A:A,B276,'Composição dos serv'!K:K)</f>
        <v>0.02</v>
      </c>
      <c r="L276" s="40">
        <f t="shared" si="73"/>
        <v>1</v>
      </c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14.25" hidden="1" customHeight="1">
      <c r="A277" s="26" t="str">
        <f>A273</f>
        <v>D32.8</v>
      </c>
      <c r="B277" s="50" t="s">
        <v>256</v>
      </c>
      <c r="C277" s="49" t="str">
        <f>VLOOKUP(B277,'Composição dos serv'!A:I,3,FALSE)</f>
        <v>Remoção e Transporte Mecanizado do entulho para bota fora</v>
      </c>
      <c r="D277" s="50" t="s">
        <v>291</v>
      </c>
      <c r="E277" s="49"/>
      <c r="F277" s="52">
        <f>IF(E277=1,SUM(F242:F272),0)</f>
        <v>0</v>
      </c>
      <c r="G277" s="51">
        <f>SUMIF('Composição dos serv'!A:A,B277,'Composição dos serv'!I:I)</f>
        <v>0</v>
      </c>
      <c r="H277" s="51">
        <f>IF(E277&gt;1,"OPÇÃO ERRADA",F277*G277)+IF(G279=2,H279*G277,0)</f>
        <v>0</v>
      </c>
      <c r="I277" s="24"/>
      <c r="J277" s="24"/>
      <c r="K277" s="39">
        <f>SUMIF('Composição dos serv'!A:A,B277,'Composição dos serv'!K:K)</f>
        <v>7.9999999999999988E-2</v>
      </c>
      <c r="L277" s="40">
        <f t="shared" si="73"/>
        <v>0</v>
      </c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14.25" customHeight="1">
      <c r="A278" s="26" t="str">
        <f>A273</f>
        <v>D32.8</v>
      </c>
      <c r="B278" s="50" t="s">
        <v>264</v>
      </c>
      <c r="C278" s="49" t="str">
        <f>VLOOKUP(B278,'Composição dos serv'!A:I,3,FALSE)</f>
        <v>Remoção de telhas em cimento amianto</v>
      </c>
      <c r="D278" s="26" t="str">
        <f>VLOOKUP(B278,'Composição dos serv'!A:I,4,FALSE)</f>
        <v>m²</v>
      </c>
      <c r="E278" s="49">
        <f>SUM(E250:E251)</f>
        <v>24</v>
      </c>
      <c r="F278" s="52"/>
      <c r="G278" s="51">
        <f>SUMIF('Composição dos serv'!A:A,B278,'Composição dos serv'!I:I)</f>
        <v>0</v>
      </c>
      <c r="H278" s="51">
        <f>G278*E278</f>
        <v>0</v>
      </c>
      <c r="I278" s="24"/>
      <c r="J278" s="24"/>
      <c r="K278" s="39"/>
      <c r="L278" s="40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14.25" customHeight="1">
      <c r="A279" s="53"/>
      <c r="B279" s="53"/>
      <c r="C279" s="37" t="str">
        <f>IF(E276&lt;&gt;1,IF(E277&lt;&gt;1,IF(H279&lt;&gt;0,"Há Material não reutilizavel qual a destinação para ele?",""),""),"")</f>
        <v/>
      </c>
      <c r="D279" s="168" t="str">
        <f>IF(E276&lt;&gt;1,IF(E277&lt;&gt;1,IF(H279&lt;&gt;0,"Caçamba = 1; Aterro = 2",""),""),"")</f>
        <v/>
      </c>
      <c r="E279" s="169"/>
      <c r="F279" s="170"/>
      <c r="G279" s="37"/>
      <c r="H279" s="54">
        <f>IF(E276=1,0,IF(E277=1,0,ROUNDUP((IF(E246&lt;&gt;"",F246*0.66,0)+IF(E249&lt;&gt;"",F249*0.57,0)+IF(E251&lt;&gt;"",F251,0)+IF(E252&lt;&gt;"",F252*0.2,0)+IF(E253&lt;&gt;"",F253,0)+IF(E255&lt;&gt;"",F255*0.22,0)+IF(E256&lt;&gt;"",F256,0)+IF(E257&lt;&gt;"",F257,0)+IF(E259&lt;&gt;"",F259*0.02,0)+IF(E261&lt;&gt;"",F261*0.09,0)+IF(E262&lt;&gt;"",F262*0.74,0)+IF(E263&lt;&gt;"",F263*(1-0.24),0)+IF(E266&lt;&gt;"",F266,0)+IF(E267&lt;&gt;"",F267,0)+IF(E268&lt;&gt;"",F268,0)+IF(E269&lt;&gt;"",F269,0)+IF(E270&lt;&gt;"",F270,0)+IF(E271&lt;&gt;"",F271,0)+IF(E272&lt;&gt;"",F272,0)+IF(E250&lt;&gt;"",F250,0)+IF(E248&lt;&gt;"",F248,0)),2)))</f>
        <v>0</v>
      </c>
      <c r="I279" s="24"/>
      <c r="J279" s="24"/>
      <c r="K279" s="39"/>
      <c r="L279" s="40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6" hidden="1" customHeight="1">
      <c r="I280" s="24"/>
      <c r="J280" s="24"/>
      <c r="K280" s="39">
        <f>SUMIF('Composição dos serv'!A:A,'PESM Itutinga Piloes pt2'!B280,'Composição dos serv'!K:K)</f>
        <v>0</v>
      </c>
      <c r="L280" s="40">
        <f>ROUNDUP(K280*E280,0)</f>
        <v>0</v>
      </c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14.25" customHeight="1">
      <c r="A281" s="76" t="str">
        <f>A239</f>
        <v>D32</v>
      </c>
      <c r="B281" s="189" t="str">
        <f>C239</f>
        <v>EDIFICAÇÃO 21 - Gleba D32</v>
      </c>
      <c r="C281" s="169"/>
      <c r="D281" s="190" t="s">
        <v>280</v>
      </c>
      <c r="E281" s="169"/>
      <c r="F281" s="169"/>
      <c r="G281" s="78">
        <f>SUM(H242:H278)</f>
        <v>0</v>
      </c>
      <c r="H281" s="79"/>
      <c r="I281" s="24"/>
      <c r="J281" s="24"/>
      <c r="K281" s="39">
        <f>IF(SUM(L274:L277)&gt;SUM(L242:L272),SUM(L274:L277),SUM(L242:L272))</f>
        <v>15</v>
      </c>
      <c r="L281" s="40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9.75" customHeight="1">
      <c r="A282" s="66"/>
      <c r="B282" s="53"/>
      <c r="D282" s="53"/>
      <c r="G282" s="67"/>
      <c r="H282" s="67"/>
      <c r="I282" s="24"/>
      <c r="J282" s="24"/>
      <c r="K282" s="39">
        <f>SUMIF('Composição dos serv'!A:A,'PESM Itutinga Piloes pt2'!B282,'Composição dos serv'!K:K)</f>
        <v>0</v>
      </c>
      <c r="L282" s="40">
        <f t="shared" ref="L282:L284" si="74">ROUNDUP(K282*E282,0)</f>
        <v>0</v>
      </c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9.5" customHeight="1">
      <c r="A283" s="80" t="s">
        <v>341</v>
      </c>
      <c r="B283" s="80">
        <v>2</v>
      </c>
      <c r="C283" s="81" t="s">
        <v>342</v>
      </c>
      <c r="D283" s="81"/>
      <c r="E283" s="81"/>
      <c r="F283" s="81"/>
      <c r="G283" s="81"/>
      <c r="H283" s="81"/>
      <c r="I283" s="24"/>
      <c r="J283" s="24"/>
      <c r="K283" s="39">
        <f>SUMIF('Composição dos serv'!A:A,'PESM Itutinga Piloes pt2'!B283,'Composição dos serv'!K:K)</f>
        <v>0</v>
      </c>
      <c r="L283" s="40">
        <f t="shared" si="74"/>
        <v>0</v>
      </c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6" customHeight="1">
      <c r="A284" s="26"/>
      <c r="B284" s="66"/>
      <c r="C284" s="66"/>
      <c r="D284" s="66"/>
      <c r="E284" s="66"/>
      <c r="F284" s="66"/>
      <c r="G284" s="66"/>
      <c r="H284" s="66"/>
      <c r="I284" s="24"/>
      <c r="J284" s="24"/>
      <c r="K284" s="39">
        <f>SUMIF('Composição dos serv'!A:A,'PESM Itutinga Piloes pt2'!B284,'Composição dos serv'!K:K)</f>
        <v>0</v>
      </c>
      <c r="L284" s="40">
        <f t="shared" si="74"/>
        <v>0</v>
      </c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4.25" customHeight="1">
      <c r="A285" s="33" t="str">
        <f>CONCATENATE(A283,".1")</f>
        <v>D33.1</v>
      </c>
      <c r="B285" s="33" t="s">
        <v>67</v>
      </c>
      <c r="C285" s="48" t="str">
        <f>VLOOKUP(B285,'Composição dos serv'!A:I,3,FALSE)</f>
        <v>DEMOLIÇÃO DE CALÇADAS E/OU CAMINHOS</v>
      </c>
      <c r="D285" s="48"/>
      <c r="E285" s="48"/>
      <c r="F285" s="48"/>
      <c r="G285" s="48"/>
      <c r="H285" s="48"/>
      <c r="I285" s="24"/>
      <c r="J285" s="24"/>
      <c r="K285" s="31"/>
      <c r="L285" s="32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14.25" hidden="1" customHeight="1">
      <c r="A286" s="26" t="str">
        <f>A285</f>
        <v>D33.1</v>
      </c>
      <c r="B286" s="26" t="s">
        <v>69</v>
      </c>
      <c r="C286" s="49" t="str">
        <f>VLOOKUP(B286,'Composição dos serv'!A:I,3,FALSE)</f>
        <v>Demolição de calçada ou caminhos</v>
      </c>
      <c r="D286" s="50" t="str">
        <f>VLOOKUP(B286,'Composição dos serv'!A:I,4,FALSE)</f>
        <v>m²</v>
      </c>
      <c r="E286" s="49"/>
      <c r="F286" s="49">
        <f>ROUNDUP(E286*0.15,2)</f>
        <v>0</v>
      </c>
      <c r="G286" s="51">
        <f>SUMIF('Composição dos serv'!A:A,'PESM Itutinga Piloes pt2'!B286,'Composição dos serv'!I:I)</f>
        <v>0</v>
      </c>
      <c r="H286" s="51">
        <f t="shared" ref="H286:H287" si="75">E286*G286</f>
        <v>0</v>
      </c>
      <c r="I286" s="24"/>
      <c r="J286" s="24"/>
      <c r="K286" s="39">
        <f>SUMIF('Composição dos serv'!A:A,B286,'Composição dos serv'!K:K)</f>
        <v>0.12</v>
      </c>
      <c r="L286" s="40">
        <f t="shared" ref="L286:L316" si="76">ROUNDUP(K286*E286,0)</f>
        <v>0</v>
      </c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14.25" hidden="1" customHeight="1">
      <c r="A287" s="26" t="str">
        <f>A285</f>
        <v>D33.1</v>
      </c>
      <c r="B287" s="26" t="s">
        <v>75</v>
      </c>
      <c r="C287" s="37" t="str">
        <f>VLOOKUP(B287,'Composição dos serv'!A:I,3,FALSE)</f>
        <v>Demolição de via Asfaltada, em paralelepípedo ou intertravados</v>
      </c>
      <c r="D287" s="26" t="str">
        <f>VLOOKUP(B287,'Composição dos serv'!A:I,4,FALSE)</f>
        <v>m²</v>
      </c>
      <c r="E287" s="37"/>
      <c r="F287" s="37">
        <f>ROUNDUP(E287*0.2,2)</f>
        <v>0</v>
      </c>
      <c r="G287" s="38">
        <f>SUMIF('Composição dos serv'!A:A,'PESM Itutinga Piloes pt2'!B287,'Composição dos serv'!I:I)</f>
        <v>0</v>
      </c>
      <c r="H287" s="38">
        <f t="shared" si="75"/>
        <v>0</v>
      </c>
      <c r="I287" s="24"/>
      <c r="J287" s="24"/>
      <c r="K287" s="39">
        <f>SUMIF('Composição dos serv'!A:A,B287,'Composição dos serv'!K:K)</f>
        <v>0.06</v>
      </c>
      <c r="L287" s="40">
        <f t="shared" si="76"/>
        <v>0</v>
      </c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14.25" customHeight="1">
      <c r="A288" s="33" t="str">
        <f>CONCATENATE(A283,".2")</f>
        <v>D33.2</v>
      </c>
      <c r="B288" s="33" t="s">
        <v>85</v>
      </c>
      <c r="C288" s="34" t="str">
        <f>VLOOKUP(B288,'Composição dos serv'!A:I,3,FALSE)</f>
        <v>DEMOLIÇÃO DE MUROS E CERCAS</v>
      </c>
      <c r="D288" s="35"/>
      <c r="E288" s="35"/>
      <c r="F288" s="35"/>
      <c r="G288" s="35"/>
      <c r="H288" s="36"/>
      <c r="I288" s="24"/>
      <c r="J288" s="24"/>
      <c r="K288" s="39">
        <f>SUMIF('Composição dos serv'!A:A,B288,'Composição dos serv'!K:K)</f>
        <v>0</v>
      </c>
      <c r="L288" s="40">
        <f t="shared" si="76"/>
        <v>0</v>
      </c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14.25" hidden="1" customHeight="1">
      <c r="A289" s="26" t="str">
        <f>A288</f>
        <v>D33.2</v>
      </c>
      <c r="B289" s="26" t="s">
        <v>87</v>
      </c>
      <c r="C289" s="37" t="str">
        <f>VLOOKUP(B289,'Composição dos serv'!A:I,3,FALSE)</f>
        <v>Demolição de muro em alvenaria ou alambrados</v>
      </c>
      <c r="D289" s="26" t="str">
        <f>VLOOKUP(B289,'Composição dos serv'!A:I,4,FALSE)</f>
        <v>m</v>
      </c>
      <c r="E289" s="37"/>
      <c r="F289" s="37">
        <f>ROUNDUP(E289*0.2*2.4,2)</f>
        <v>0</v>
      </c>
      <c r="G289" s="38">
        <f>SUMIF('Composição dos serv'!A:A,'PESM Itutinga Piloes pt2'!B289,'Composição dos serv'!I:I)</f>
        <v>0</v>
      </c>
      <c r="H289" s="38">
        <f t="shared" ref="H289:H290" si="77">E289*G289</f>
        <v>0</v>
      </c>
      <c r="I289" s="24"/>
      <c r="J289" s="24"/>
      <c r="K289" s="39">
        <f>SUMIF('Composição dos serv'!A:A,B289,'Composição dos serv'!K:K)</f>
        <v>0.26</v>
      </c>
      <c r="L289" s="40">
        <f t="shared" si="76"/>
        <v>0</v>
      </c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14.25" customHeight="1">
      <c r="A290" s="26" t="str">
        <f>A288</f>
        <v>D33.2</v>
      </c>
      <c r="B290" s="26" t="s">
        <v>93</v>
      </c>
      <c r="C290" s="37" t="str">
        <f>VLOOKUP(B290,'Composição dos serv'!A:I,3,FALSE)</f>
        <v>Demolição de Cercas</v>
      </c>
      <c r="D290" s="26" t="str">
        <f>VLOOKUP(B290,'Composição dos serv'!A:I,4,FALSE)</f>
        <v>m</v>
      </c>
      <c r="E290" s="37">
        <v>100</v>
      </c>
      <c r="F290" s="37">
        <f>ROUNDUP(E290*0.1*1.8,2)</f>
        <v>18</v>
      </c>
      <c r="G290" s="38">
        <f>SUMIF('Composição dos serv'!A:A,'PESM Itutinga Piloes pt2'!B290,'Composição dos serv'!I:I)</f>
        <v>0</v>
      </c>
      <c r="H290" s="38">
        <f t="shared" si="77"/>
        <v>0</v>
      </c>
      <c r="I290" s="24"/>
      <c r="J290" s="24"/>
      <c r="K290" s="39">
        <f>SUMIF('Composição dos serv'!A:A,B290,'Composição dos serv'!K:K)</f>
        <v>0.06</v>
      </c>
      <c r="L290" s="40">
        <f t="shared" si="76"/>
        <v>6</v>
      </c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14.25" customHeight="1">
      <c r="A291" s="33" t="str">
        <f>CONCATENATE(A283,".3")</f>
        <v>D33.3</v>
      </c>
      <c r="B291" s="33" t="s">
        <v>99</v>
      </c>
      <c r="C291" s="48" t="str">
        <f>VLOOKUP(B291,'Composição dos serv'!A:I,3,FALSE)</f>
        <v>COBERTURA</v>
      </c>
      <c r="D291" s="48"/>
      <c r="E291" s="48"/>
      <c r="F291" s="48"/>
      <c r="G291" s="48"/>
      <c r="H291" s="48"/>
      <c r="I291" s="24"/>
      <c r="J291" s="24"/>
      <c r="K291" s="39">
        <f>SUMIF('Composição dos serv'!A:A,B291,'Composição dos serv'!K:K)</f>
        <v>0</v>
      </c>
      <c r="L291" s="40">
        <f t="shared" si="76"/>
        <v>0</v>
      </c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14.25" hidden="1" customHeight="1">
      <c r="A292" s="26" t="str">
        <f t="shared" ref="A292:A297" si="78">A291</f>
        <v>D33.3</v>
      </c>
      <c r="B292" s="26" t="s">
        <v>101</v>
      </c>
      <c r="C292" s="37" t="str">
        <f>VLOOKUP(B292,'Composição dos serv'!A:I,3,FALSE)</f>
        <v>Retirada de Estrutura de madeira sem telhas</v>
      </c>
      <c r="D292" s="26" t="str">
        <f>VLOOKUP(B292,'Composição dos serv'!A:I,4,FALSE)</f>
        <v>m²</v>
      </c>
      <c r="E292" s="37"/>
      <c r="F292" s="37">
        <f>ROUNDUP(E292*0.2,2)</f>
        <v>0</v>
      </c>
      <c r="G292" s="38">
        <f>SUMIF('Composição dos serv'!A:A,'PESM Itutinga Piloes pt2'!B292,'Composição dos serv'!I:I)</f>
        <v>0</v>
      </c>
      <c r="H292" s="38">
        <f t="shared" ref="H292:H297" si="79">E292*G292</f>
        <v>0</v>
      </c>
      <c r="I292" s="24"/>
      <c r="J292" s="24"/>
      <c r="K292" s="39">
        <f>SUMIF('Composição dos serv'!A:A,B292,'Composição dos serv'!K:K)</f>
        <v>0.03</v>
      </c>
      <c r="L292" s="40">
        <f t="shared" si="76"/>
        <v>0</v>
      </c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14.25" hidden="1" customHeight="1">
      <c r="A293" s="26" t="str">
        <f t="shared" si="78"/>
        <v>D33.3</v>
      </c>
      <c r="B293" s="26" t="s">
        <v>105</v>
      </c>
      <c r="C293" s="37" t="str">
        <f>VLOOKUP(B293,'Composição dos serv'!A:I,3,FALSE)</f>
        <v>Retirada de Telhas de Barro com Estrutura em madeira (tesouras, treliças,...)</v>
      </c>
      <c r="D293" s="26" t="str">
        <f>VLOOKUP(B293,'Composição dos serv'!A:I,4,FALSE)</f>
        <v>m²</v>
      </c>
      <c r="E293" s="37"/>
      <c r="F293" s="37">
        <f>ROUNDUP(E293*0.08+E293*0.2,2)</f>
        <v>0</v>
      </c>
      <c r="G293" s="38">
        <f>SUMIF('Composição dos serv'!A:A,'PESM Itutinga Piloes pt2'!B293,'Composição dos serv'!I:I)</f>
        <v>0</v>
      </c>
      <c r="H293" s="38">
        <f t="shared" si="79"/>
        <v>0</v>
      </c>
      <c r="I293" s="24"/>
      <c r="J293" s="24"/>
      <c r="K293" s="39">
        <f>SUMIF('Composição dos serv'!A:A,B293,'Composição dos serv'!K:K)</f>
        <v>0.06</v>
      </c>
      <c r="L293" s="40">
        <f t="shared" si="76"/>
        <v>0</v>
      </c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14.25" hidden="1" customHeight="1">
      <c r="A294" s="26" t="str">
        <f t="shared" si="78"/>
        <v>D33.3</v>
      </c>
      <c r="B294" s="26" t="s">
        <v>111</v>
      </c>
      <c r="C294" s="37" t="str">
        <f>VLOOKUP(B294,'Composição dos serv'!A:I,3,FALSE)</f>
        <v>Retirada de Telhas de amianto Sem Estrutura</v>
      </c>
      <c r="D294" s="26" t="str">
        <f>VLOOKUP(B294,'Composição dos serv'!A:I,4,FALSE)</f>
        <v>m²</v>
      </c>
      <c r="E294" s="37"/>
      <c r="F294" s="37"/>
      <c r="G294" s="38">
        <f>SUMIF('Composição dos serv'!A:A,'PESM Itutinga Piloes pt2'!B294,'Composição dos serv'!I:I)</f>
        <v>0</v>
      </c>
      <c r="H294" s="38">
        <f t="shared" si="79"/>
        <v>0</v>
      </c>
      <c r="I294" s="24"/>
      <c r="J294" s="24"/>
      <c r="K294" s="39">
        <f>SUMIF('Composição dos serv'!A:A,B294,'Composição dos serv'!K:K)</f>
        <v>0.02</v>
      </c>
      <c r="L294" s="40">
        <f t="shared" si="76"/>
        <v>0</v>
      </c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14.25" customHeight="1">
      <c r="A295" s="26" t="str">
        <f t="shared" si="78"/>
        <v>D33.3</v>
      </c>
      <c r="B295" s="26" t="s">
        <v>117</v>
      </c>
      <c r="C295" s="37" t="str">
        <f>VLOOKUP(B295,'Composição dos serv'!A:I,3,FALSE)</f>
        <v>Retirada de Telhas de amianto com Estrutura em madeira (tesouras, treliças,...)</v>
      </c>
      <c r="D295" s="26" t="str">
        <f>VLOOKUP(B295,'Composição dos serv'!A:I,4,FALSE)</f>
        <v>m²</v>
      </c>
      <c r="E295" s="37">
        <v>150</v>
      </c>
      <c r="F295" s="37">
        <f>ROUNDUP(E295*0.1,2)</f>
        <v>15</v>
      </c>
      <c r="G295" s="38">
        <f>SUMIF('Composição dos serv'!A:A,'PESM Itutinga Piloes pt2'!B295,'Composição dos serv'!I:I)</f>
        <v>0</v>
      </c>
      <c r="H295" s="38">
        <f t="shared" si="79"/>
        <v>0</v>
      </c>
      <c r="I295" s="24"/>
      <c r="J295" s="24"/>
      <c r="K295" s="39">
        <f>SUMIF('Composição dos serv'!A:A,B295,'Composição dos serv'!K:K)</f>
        <v>0.04</v>
      </c>
      <c r="L295" s="40">
        <f t="shared" si="76"/>
        <v>6</v>
      </c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ht="14.25" hidden="1" customHeight="1">
      <c r="A296" s="26" t="str">
        <f t="shared" si="78"/>
        <v>D33.3</v>
      </c>
      <c r="B296" s="26" t="s">
        <v>121</v>
      </c>
      <c r="C296" s="37" t="str">
        <f>VLOOKUP(B296,'Composição dos serv'!A:I,3,FALSE)</f>
        <v>Retirada de Laje em concreto</v>
      </c>
      <c r="D296" s="26" t="str">
        <f>VLOOKUP(B296,'Composição dos serv'!A:I,4,FALSE)</f>
        <v>m²</v>
      </c>
      <c r="E296" s="37"/>
      <c r="F296" s="37">
        <f>ROUNDUP(E296*0.12,2)</f>
        <v>0</v>
      </c>
      <c r="G296" s="38">
        <f>SUMIF('Composição dos serv'!A:A,'PESM Itutinga Piloes pt2'!B296,'Composição dos serv'!I:I)</f>
        <v>0</v>
      </c>
      <c r="H296" s="38">
        <f t="shared" si="79"/>
        <v>0</v>
      </c>
      <c r="I296" s="24"/>
      <c r="J296" s="24"/>
      <c r="K296" s="39">
        <f>SUMIF('Composição dos serv'!A:A,B296,'Composição dos serv'!K:K)</f>
        <v>0.09</v>
      </c>
      <c r="L296" s="40">
        <f t="shared" si="76"/>
        <v>0</v>
      </c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ht="14.25" hidden="1" customHeight="1">
      <c r="A297" s="26" t="str">
        <f t="shared" si="78"/>
        <v>D33.3</v>
      </c>
      <c r="B297" s="26" t="s">
        <v>129</v>
      </c>
      <c r="C297" s="37" t="str">
        <f>VLOOKUP(B297,'Composição dos serv'!A:I,3,FALSE)</f>
        <v>Retirada de Forros qualquer com sistema de fixação</v>
      </c>
      <c r="D297" s="26" t="str">
        <f>VLOOKUP(B297,'Composição dos serv'!A:I,4,FALSE)</f>
        <v>m²</v>
      </c>
      <c r="E297" s="37"/>
      <c r="F297" s="37">
        <f>ROUNDUP(E297*0.1,2)</f>
        <v>0</v>
      </c>
      <c r="G297" s="38">
        <f>SUMIF('Composição dos serv'!A:A,'PESM Itutinga Piloes pt2'!B297,'Composição dos serv'!I:I)</f>
        <v>0</v>
      </c>
      <c r="H297" s="38">
        <f t="shared" si="79"/>
        <v>0</v>
      </c>
      <c r="I297" s="24"/>
      <c r="J297" s="24"/>
      <c r="K297" s="39">
        <f>SUMIF('Composição dos serv'!A:A,B297,'Composição dos serv'!K:K)</f>
        <v>0.04</v>
      </c>
      <c r="L297" s="40">
        <f t="shared" si="76"/>
        <v>0</v>
      </c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4.25" customHeight="1">
      <c r="A298" s="33" t="str">
        <f>CONCATENATE(A283,".4")</f>
        <v>D33.4</v>
      </c>
      <c r="B298" s="33" t="s">
        <v>133</v>
      </c>
      <c r="C298" s="34" t="str">
        <f>VLOOKUP(B298,'Composição dos serv'!A:I,3,FALSE)</f>
        <v>PAREDES</v>
      </c>
      <c r="D298" s="35"/>
      <c r="E298" s="35"/>
      <c r="F298" s="35"/>
      <c r="G298" s="35"/>
      <c r="H298" s="36"/>
      <c r="I298" s="24"/>
      <c r="J298" s="24"/>
      <c r="K298" s="39">
        <f>SUMIF('Composição dos serv'!A:A,B298,'Composição dos serv'!K:K)</f>
        <v>0</v>
      </c>
      <c r="L298" s="40">
        <f t="shared" si="76"/>
        <v>0</v>
      </c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ht="14.25" customHeight="1">
      <c r="A299" s="26" t="str">
        <f>A298</f>
        <v>D33.4</v>
      </c>
      <c r="B299" s="26" t="s">
        <v>135</v>
      </c>
      <c r="C299" s="37" t="str">
        <f>VLOOKUP(B299,'Composição dos serv'!A:I,3,FALSE)</f>
        <v>Parede em Alvenaria - usar área construida</v>
      </c>
      <c r="D299" s="26" t="str">
        <f>VLOOKUP(B299,'Composição dos serv'!A:I,4,FALSE)</f>
        <v>m²</v>
      </c>
      <c r="E299" s="49">
        <v>150</v>
      </c>
      <c r="F299" s="37">
        <f>ROUNDUP(E299*0.8,2)</f>
        <v>120</v>
      </c>
      <c r="G299" s="38">
        <f>SUMIF('Composição dos serv'!A:A,B299,'Composição dos serv'!I:I)</f>
        <v>0</v>
      </c>
      <c r="H299" s="38">
        <f t="shared" ref="H299:H301" si="80">E299*G299</f>
        <v>0</v>
      </c>
      <c r="I299" s="24"/>
      <c r="J299" s="24"/>
      <c r="K299" s="39">
        <f>SUMIF('Composição dos serv'!A:A,B299,'Composição dos serv'!K:K)</f>
        <v>0.15000000000000002</v>
      </c>
      <c r="L299" s="40">
        <f t="shared" si="76"/>
        <v>23</v>
      </c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ht="14.25" hidden="1" customHeight="1">
      <c r="A300" s="26" t="str">
        <f>A298</f>
        <v>D33.4</v>
      </c>
      <c r="B300" s="26" t="s">
        <v>143</v>
      </c>
      <c r="C300" s="37" t="str">
        <f>VLOOKUP(B300,'Composição dos serv'!A:I,3,FALSE)</f>
        <v>Parede em Madeirite - Chapas de madeira compensada ou aglomerada - área construída</v>
      </c>
      <c r="D300" s="26" t="str">
        <f>VLOOKUP(B300,'Composição dos serv'!A:I,4,FALSE)</f>
        <v>m²</v>
      </c>
      <c r="E300" s="37"/>
      <c r="F300" s="37">
        <f>ROUNDUP(E300*0.21,2)</f>
        <v>0</v>
      </c>
      <c r="G300" s="38">
        <f>SUMIF('Composição dos serv'!A:A,B300,'Composição dos serv'!I:I)</f>
        <v>0</v>
      </c>
      <c r="H300" s="38">
        <f t="shared" si="80"/>
        <v>0</v>
      </c>
      <c r="I300" s="24"/>
      <c r="J300" s="24"/>
      <c r="K300" s="39">
        <f>SUMIF('Composição dos serv'!A:A,B300,'Composição dos serv'!K:K)</f>
        <v>0.15000000000000002</v>
      </c>
      <c r="L300" s="40">
        <f t="shared" si="76"/>
        <v>0</v>
      </c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ht="14.25" hidden="1" customHeight="1">
      <c r="A301" s="26" t="str">
        <f>A298</f>
        <v>D33.4</v>
      </c>
      <c r="B301" s="26" t="s">
        <v>145</v>
      </c>
      <c r="C301" s="37" t="str">
        <f>VLOOKUP(B301,'Composição dos serv'!A:I,3,FALSE)</f>
        <v>Parede em Lambril de madeira - área construída</v>
      </c>
      <c r="D301" s="26" t="str">
        <f>VLOOKUP(B301,'Composição dos serv'!A:I,4,FALSE)</f>
        <v>m²</v>
      </c>
      <c r="E301" s="37"/>
      <c r="F301" s="37">
        <f>ROUNDUP(E301*4*0.12,2)</f>
        <v>0</v>
      </c>
      <c r="G301" s="38">
        <f>SUMIF('Composição dos serv'!A:A,B301,'Composição dos serv'!I:I)</f>
        <v>0</v>
      </c>
      <c r="H301" s="38">
        <f t="shared" si="80"/>
        <v>0</v>
      </c>
      <c r="I301" s="24"/>
      <c r="J301" s="24"/>
      <c r="K301" s="39">
        <f>SUMIF('Composição dos serv'!A:A,B301,'Composição dos serv'!K:K)</f>
        <v>0.35000000000000009</v>
      </c>
      <c r="L301" s="40">
        <f t="shared" si="76"/>
        <v>0</v>
      </c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ht="14.25" customHeight="1">
      <c r="A302" s="33" t="str">
        <f>CONCATENATE(A283,".5")</f>
        <v>D33.5</v>
      </c>
      <c r="B302" s="33" t="s">
        <v>153</v>
      </c>
      <c r="C302" s="34" t="str">
        <f>VLOOKUP(B302,'Composição dos serv'!A:I,3,FALSE)</f>
        <v>PISO E FUNDAÇÃO</v>
      </c>
      <c r="D302" s="35"/>
      <c r="E302" s="35"/>
      <c r="F302" s="35"/>
      <c r="G302" s="35"/>
      <c r="H302" s="36"/>
      <c r="I302" s="24"/>
      <c r="J302" s="24"/>
      <c r="K302" s="39">
        <f>SUMIF('Composição dos serv'!A:A,B302,'Composição dos serv'!K:K)</f>
        <v>0</v>
      </c>
      <c r="L302" s="40">
        <f t="shared" si="76"/>
        <v>0</v>
      </c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ht="14.25" hidden="1" customHeight="1">
      <c r="A303" s="26" t="str">
        <f>A302</f>
        <v>D33.5</v>
      </c>
      <c r="B303" s="26" t="s">
        <v>155</v>
      </c>
      <c r="C303" s="37" t="str">
        <f>VLOOKUP(B303,'Composição dos serv'!A:I,3,FALSE)</f>
        <v>Piso da edificação com fundação</v>
      </c>
      <c r="D303" s="26" t="str">
        <f>VLOOKUP(B303,'Composição dos serv'!A:I,4,FALSE)</f>
        <v>m²</v>
      </c>
      <c r="E303" s="37"/>
      <c r="F303" s="37">
        <f>ROUNDUP(E303*0.24,2)</f>
        <v>0</v>
      </c>
      <c r="G303" s="38">
        <f>SUMIF('Composição dos serv'!A:A,B303,'Composição dos serv'!I:I)</f>
        <v>0</v>
      </c>
      <c r="H303" s="38">
        <f>E303*G303</f>
        <v>0</v>
      </c>
      <c r="I303" s="24"/>
      <c r="J303" s="24"/>
      <c r="K303" s="39">
        <f>SUMIF('Composição dos serv'!A:A,B303,'Composição dos serv'!K:K)</f>
        <v>0.17</v>
      </c>
      <c r="L303" s="40">
        <f t="shared" si="76"/>
        <v>0</v>
      </c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14.25" customHeight="1">
      <c r="A304" s="33" t="str">
        <f>CONCATENATE(A283,".6")</f>
        <v>D33.6</v>
      </c>
      <c r="B304" s="33" t="s">
        <v>161</v>
      </c>
      <c r="C304" s="48" t="str">
        <f>VLOOKUP(B304,'Composição dos serv'!A:I,3,FALSE)</f>
        <v>ESTRUTURAS DIVERSAS</v>
      </c>
      <c r="D304" s="48"/>
      <c r="E304" s="48"/>
      <c r="F304" s="48"/>
      <c r="G304" s="48"/>
      <c r="H304" s="48"/>
      <c r="I304" s="24"/>
      <c r="J304" s="24"/>
      <c r="K304" s="39">
        <f>SUMIF('Composição dos serv'!A:A,B304,'Composição dos serv'!K:K)</f>
        <v>0</v>
      </c>
      <c r="L304" s="40">
        <f t="shared" si="76"/>
        <v>0</v>
      </c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ht="14.25" hidden="1" customHeight="1">
      <c r="A305" s="26" t="str">
        <f>A304</f>
        <v>D33.6</v>
      </c>
      <c r="B305" s="26" t="s">
        <v>163</v>
      </c>
      <c r="C305" s="37" t="str">
        <f>VLOOKUP(B305,'Composição dos serv'!A:I,3,FALSE)</f>
        <v>Escada em concreto com corrimão</v>
      </c>
      <c r="D305" s="26" t="str">
        <f>VLOOKUP(B305,'Composição dos serv'!A:I,4,FALSE)</f>
        <v>m</v>
      </c>
      <c r="E305" s="49"/>
      <c r="F305" s="37">
        <f>ROUNDUP(E305*1.2*0.25,2)</f>
        <v>0</v>
      </c>
      <c r="G305" s="38">
        <f>SUMIF('Composição dos serv'!A:A,'PESM Itutinga Piloes pt2'!B305,'Composição dos serv'!I:I)</f>
        <v>0</v>
      </c>
      <c r="H305" s="38">
        <f t="shared" ref="H305:H308" si="81">E305*G305</f>
        <v>0</v>
      </c>
      <c r="I305" s="24"/>
      <c r="J305" s="24"/>
      <c r="K305" s="39">
        <f>SUMIF('Composição dos serv'!A:A,B305,'Composição dos serv'!K:K)</f>
        <v>0.39</v>
      </c>
      <c r="L305" s="40">
        <f t="shared" si="76"/>
        <v>0</v>
      </c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ht="14.25" customHeight="1">
      <c r="A306" s="26" t="str">
        <f>A304</f>
        <v>D33.6</v>
      </c>
      <c r="B306" s="26" t="s">
        <v>169</v>
      </c>
      <c r="C306" s="37" t="str">
        <f>VLOOKUP(B306,'Composição dos serv'!A:I,3,FALSE)</f>
        <v>Entrada de Energia - medidor</v>
      </c>
      <c r="D306" s="26" t="str">
        <f>VLOOKUP(B306,'Composição dos serv'!A:I,4,FALSE)</f>
        <v>un</v>
      </c>
      <c r="E306" s="37">
        <v>1</v>
      </c>
      <c r="F306" s="37">
        <f>ROUNDUP(E306*(3.2+(((3.1415*0.4^2)/4)*6)),2)</f>
        <v>3.96</v>
      </c>
      <c r="G306" s="38">
        <f>SUMIF('Composição dos serv'!A:A,'PESM Itutinga Piloes pt2'!B306,'Composição dos serv'!I:I)</f>
        <v>0</v>
      </c>
      <c r="H306" s="38">
        <f t="shared" si="81"/>
        <v>0</v>
      </c>
      <c r="I306" s="24"/>
      <c r="J306" s="24"/>
      <c r="K306" s="39">
        <f>SUMIF('Composição dos serv'!A:A,B306,'Composição dos serv'!K:K)</f>
        <v>1.7600000000000002</v>
      </c>
      <c r="L306" s="40">
        <f t="shared" si="76"/>
        <v>2</v>
      </c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ht="14.25" customHeight="1">
      <c r="A307" s="26" t="str">
        <f>A304</f>
        <v>D33.6</v>
      </c>
      <c r="B307" s="26" t="s">
        <v>183</v>
      </c>
      <c r="C307" s="37" t="str">
        <f>VLOOKUP(B307,'Composição dos serv'!A:I,3,FALSE)</f>
        <v>Hidrômetro com abrigo</v>
      </c>
      <c r="D307" s="26" t="str">
        <f>VLOOKUP(B307,'Composição dos serv'!A:I,4,FALSE)</f>
        <v>un</v>
      </c>
      <c r="E307" s="37">
        <v>1</v>
      </c>
      <c r="F307" s="37">
        <f>ROUNDUP(E307*(1.7+0.1),2)</f>
        <v>1.8</v>
      </c>
      <c r="G307" s="38">
        <f>SUMIF('Composição dos serv'!A:A,'PESM Itutinga Piloes pt2'!B307,'Composição dos serv'!I:I)</f>
        <v>0</v>
      </c>
      <c r="H307" s="38">
        <f t="shared" si="81"/>
        <v>0</v>
      </c>
      <c r="I307" s="24"/>
      <c r="J307" s="24"/>
      <c r="K307" s="39">
        <f>SUMIF('Composição dos serv'!A:A,B307,'Composição dos serv'!K:K)</f>
        <v>0.44000000000000006</v>
      </c>
      <c r="L307" s="40">
        <f t="shared" si="76"/>
        <v>1</v>
      </c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14.25" customHeight="1">
      <c r="A308" s="26" t="str">
        <f>A306</f>
        <v>D33.6</v>
      </c>
      <c r="B308" s="26" t="s">
        <v>191</v>
      </c>
      <c r="C308" s="37" t="str">
        <f>VLOOKUP(B308,'Composição dos serv'!A:I,3,FALSE)</f>
        <v>Aterro de Fossa com retirada de tampa</v>
      </c>
      <c r="D308" s="26" t="str">
        <f>VLOOKUP(B308,'Composição dos serv'!A:I,4,FALSE)</f>
        <v>un</v>
      </c>
      <c r="E308" s="37">
        <v>1</v>
      </c>
      <c r="F308" s="37">
        <f>ROUNDUP(E308*(0.4),2)</f>
        <v>0.4</v>
      </c>
      <c r="G308" s="38">
        <f>SUMIF('Composição dos serv'!A:A,'PESM Itutinga Piloes pt2'!B308,'Composição dos serv'!I:I)</f>
        <v>0</v>
      </c>
      <c r="H308" s="38">
        <f t="shared" si="81"/>
        <v>0</v>
      </c>
      <c r="I308" s="24"/>
      <c r="J308" s="24"/>
      <c r="K308" s="39">
        <f>SUMIF('Composição dos serv'!A:A,B308,'Composição dos serv'!K:K)</f>
        <v>0.85000000000000009</v>
      </c>
      <c r="L308" s="40">
        <f t="shared" si="76"/>
        <v>1</v>
      </c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ht="14.25" customHeight="1">
      <c r="A309" s="33" t="str">
        <f>CONCATENATE(A283,".7")</f>
        <v>D33.7</v>
      </c>
      <c r="B309" s="33" t="s">
        <v>195</v>
      </c>
      <c r="C309" s="48" t="str">
        <f>VLOOKUP(B309,'Composição dos serv'!A:I,3,FALSE)</f>
        <v>ACABAMENTOS DIVERSOS e OUTROS</v>
      </c>
      <c r="D309" s="48"/>
      <c r="E309" s="48"/>
      <c r="F309" s="48"/>
      <c r="G309" s="48"/>
      <c r="H309" s="48"/>
      <c r="I309" s="24"/>
      <c r="J309" s="24"/>
      <c r="K309" s="39">
        <f>SUMIF('Composição dos serv'!A:A,B309,'Composição dos serv'!K:K)</f>
        <v>0</v>
      </c>
      <c r="L309" s="40">
        <f t="shared" si="76"/>
        <v>0</v>
      </c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14.25" customHeight="1">
      <c r="A310" s="26" t="str">
        <f>A309</f>
        <v>D33.7</v>
      </c>
      <c r="B310" s="50" t="s">
        <v>197</v>
      </c>
      <c r="C310" s="49" t="str">
        <f>VLOOKUP(B310,'Composição dos serv'!A:I,3,FALSE)</f>
        <v>Remoção de aparelhos sanitarios - por banheiro</v>
      </c>
      <c r="D310" s="50" t="str">
        <f>VLOOKUP(B310,'Composição dos serv'!A:I,4,FALSE)</f>
        <v>unid</v>
      </c>
      <c r="E310" s="49">
        <v>1</v>
      </c>
      <c r="F310" s="37">
        <f t="shared" ref="F310:F312" si="82">ROUNDUP(E310*1,2)</f>
        <v>1</v>
      </c>
      <c r="G310" s="51">
        <f>SUMIF('Composição dos serv'!A:A,B310,'Composição dos serv'!I:I)</f>
        <v>0</v>
      </c>
      <c r="H310" s="51">
        <f t="shared" ref="H310:H316" si="83">E310*G310</f>
        <v>0</v>
      </c>
      <c r="I310" s="24"/>
      <c r="J310" s="24"/>
      <c r="K310" s="39">
        <f>SUMIF('Composição dos serv'!A:A,B310,'Composição dos serv'!K:K)</f>
        <v>0.19</v>
      </c>
      <c r="L310" s="40">
        <f t="shared" si="76"/>
        <v>1</v>
      </c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ht="14.25" customHeight="1">
      <c r="A311" s="26" t="str">
        <f>A309</f>
        <v>D33.7</v>
      </c>
      <c r="B311" s="50" t="s">
        <v>209</v>
      </c>
      <c r="C311" s="37" t="str">
        <f>VLOOKUP(B311,'Composição dos serv'!A:I,3,FALSE)</f>
        <v>Remoção de aparelhos sanitarios - Cozinha e Área de Serviço</v>
      </c>
      <c r="D311" s="26" t="str">
        <f>VLOOKUP(B311,'Composição dos serv'!A:I,4,FALSE)</f>
        <v>unid</v>
      </c>
      <c r="E311" s="37">
        <v>1</v>
      </c>
      <c r="F311" s="37">
        <f t="shared" si="82"/>
        <v>1</v>
      </c>
      <c r="G311" s="51">
        <f>SUMIF('Composição dos serv'!A:A,B311,'Composição dos serv'!I:I)</f>
        <v>0</v>
      </c>
      <c r="H311" s="38">
        <f t="shared" si="83"/>
        <v>0</v>
      </c>
      <c r="I311" s="24"/>
      <c r="J311" s="24"/>
      <c r="K311" s="39">
        <f>SUMIF('Composição dos serv'!A:A,B311,'Composição dos serv'!K:K)</f>
        <v>0.21</v>
      </c>
      <c r="L311" s="40">
        <f t="shared" si="76"/>
        <v>1</v>
      </c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ht="14.25" hidden="1" customHeight="1">
      <c r="A312" s="26" t="str">
        <f>A309</f>
        <v>D33.7</v>
      </c>
      <c r="B312" s="50" t="s">
        <v>215</v>
      </c>
      <c r="C312" s="37" t="str">
        <f>VLOOKUP(B312,'Composição dos serv'!A:I,3,FALSE)</f>
        <v>Remoção de caixa d'agua</v>
      </c>
      <c r="D312" s="26" t="str">
        <f>VLOOKUP(B312,'Composição dos serv'!A:I,4,FALSE)</f>
        <v>unid</v>
      </c>
      <c r="E312" s="37"/>
      <c r="F312" s="37">
        <f t="shared" si="82"/>
        <v>0</v>
      </c>
      <c r="G312" s="51">
        <f>SUMIF('Composição dos serv'!A:A,B312,'Composição dos serv'!I:I)</f>
        <v>0</v>
      </c>
      <c r="H312" s="38">
        <f t="shared" si="83"/>
        <v>0</v>
      </c>
      <c r="I312" s="24"/>
      <c r="J312" s="24"/>
      <c r="K312" s="39">
        <f>SUMIF('Composição dos serv'!A:A,B312,'Composição dos serv'!K:K)</f>
        <v>0.42000000000000004</v>
      </c>
      <c r="L312" s="40">
        <f t="shared" si="76"/>
        <v>0</v>
      </c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14.25" hidden="1" customHeight="1">
      <c r="A313" s="26" t="str">
        <f>A309</f>
        <v>D33.7</v>
      </c>
      <c r="B313" s="50" t="s">
        <v>219</v>
      </c>
      <c r="C313" s="37" t="str">
        <f>VLOOKUP(B313,'Composição dos serv'!A:I,3,FALSE)</f>
        <v>Remoção do Sistema de Para raios - área do telhado</v>
      </c>
      <c r="D313" s="26" t="str">
        <f>VLOOKUP(B313,'Composição dos serv'!A:I,4,FALSE)</f>
        <v>m²</v>
      </c>
      <c r="E313" s="37"/>
      <c r="F313" s="37">
        <f>ROUNDUP(E313/60,2)</f>
        <v>0</v>
      </c>
      <c r="G313" s="51">
        <f>SUMIF('Composição dos serv'!A:A,B313,'Composição dos serv'!I:I)</f>
        <v>0</v>
      </c>
      <c r="H313" s="38">
        <f t="shared" si="83"/>
        <v>0</v>
      </c>
      <c r="I313" s="24"/>
      <c r="J313" s="24"/>
      <c r="K313" s="39">
        <f>SUMIF('Composição dos serv'!A:A,B313,'Composição dos serv'!K:K)</f>
        <v>0.05</v>
      </c>
      <c r="L313" s="40">
        <f t="shared" si="76"/>
        <v>0</v>
      </c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ht="14.25" customHeight="1">
      <c r="A314" s="26" t="str">
        <f>A309</f>
        <v>D33.7</v>
      </c>
      <c r="B314" s="50" t="s">
        <v>227</v>
      </c>
      <c r="C314" s="37" t="str">
        <f>VLOOKUP(B314,'Composição dos serv'!A:I,3,FALSE)</f>
        <v>Janelas</v>
      </c>
      <c r="D314" s="26" t="str">
        <f>VLOOKUP(B314,'Composição dos serv'!A:I,4,FALSE)</f>
        <v>un</v>
      </c>
      <c r="E314" s="37">
        <v>5</v>
      </c>
      <c r="F314" s="37">
        <f>ROUNDUP(E314*1.5*1.2*0.2,2)</f>
        <v>1.8</v>
      </c>
      <c r="G314" s="51">
        <f>SUMIF('Composição dos serv'!A:A,B314,'Composição dos serv'!I:I)</f>
        <v>0</v>
      </c>
      <c r="H314" s="38">
        <f t="shared" si="83"/>
        <v>0</v>
      </c>
      <c r="I314" s="24"/>
      <c r="J314" s="24"/>
      <c r="K314" s="39">
        <f>SUMIF('Composição dos serv'!A:A,B314,'Composição dos serv'!K:K)</f>
        <v>0</v>
      </c>
      <c r="L314" s="40">
        <f t="shared" si="76"/>
        <v>0</v>
      </c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ht="14.25" customHeight="1">
      <c r="A315" s="26" t="str">
        <f>A309</f>
        <v>D33.7</v>
      </c>
      <c r="B315" s="50" t="s">
        <v>234</v>
      </c>
      <c r="C315" s="37" t="str">
        <f>VLOOKUP(B315,'Composição dos serv'!A:I,3,FALSE)</f>
        <v>Portas</v>
      </c>
      <c r="D315" s="26" t="str">
        <f>VLOOKUP(B315,'Composição dos serv'!A:I,4,FALSE)</f>
        <v>un</v>
      </c>
      <c r="E315" s="37">
        <v>1</v>
      </c>
      <c r="F315" s="37">
        <f>ROUNDUP(E315*2.1*0.9*0.2,2)</f>
        <v>0.38</v>
      </c>
      <c r="G315" s="51">
        <f>SUMIF('Composição dos serv'!A:A,B315,'Composição dos serv'!I:I)</f>
        <v>0</v>
      </c>
      <c r="H315" s="38">
        <f t="shared" si="83"/>
        <v>0</v>
      </c>
      <c r="I315" s="24"/>
      <c r="J315" s="24"/>
      <c r="K315" s="39">
        <f>SUMIF('Composição dos serv'!A:A,B315,'Composição dos serv'!K:K)</f>
        <v>0</v>
      </c>
      <c r="L315" s="40">
        <f t="shared" si="76"/>
        <v>0</v>
      </c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ht="14.25" hidden="1" customHeight="1">
      <c r="A316" s="26" t="str">
        <f>A309</f>
        <v>D33.7</v>
      </c>
      <c r="B316" s="50" t="s">
        <v>236</v>
      </c>
      <c r="C316" s="37" t="str">
        <f>VLOOKUP(B316,'Composição dos serv'!A:I,3,FALSE)</f>
        <v>Guarda corpo de metal</v>
      </c>
      <c r="D316" s="26" t="str">
        <f>VLOOKUP(B316,'Composição dos serv'!A:I,4,FALSE)</f>
        <v>m</v>
      </c>
      <c r="E316" s="37"/>
      <c r="F316" s="37">
        <f>ROUNDUP(E316*1.7*0.05,2)</f>
        <v>0</v>
      </c>
      <c r="G316" s="51">
        <f>SUMIF('Composição dos serv'!A:A,B316,'Composição dos serv'!I:I)</f>
        <v>0</v>
      </c>
      <c r="H316" s="38">
        <f t="shared" si="83"/>
        <v>0</v>
      </c>
      <c r="I316" s="24"/>
      <c r="J316" s="24"/>
      <c r="K316" s="39">
        <f>SUMIF('Composição dos serv'!A:A,B316,'Composição dos serv'!K:K)</f>
        <v>0</v>
      </c>
      <c r="L316" s="40">
        <f t="shared" si="76"/>
        <v>0</v>
      </c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ht="14.25" customHeight="1">
      <c r="A317" s="33" t="str">
        <f>CONCATENATE(A283,".8")</f>
        <v>D33.8</v>
      </c>
      <c r="B317" s="33" t="s">
        <v>240</v>
      </c>
      <c r="C317" s="48" t="str">
        <f>VLOOKUP(B317,'Composição dos serv'!A:I,3,FALSE)</f>
        <v>ENTULHO</v>
      </c>
      <c r="D317" s="48"/>
      <c r="E317" s="48"/>
      <c r="F317" s="48"/>
      <c r="G317" s="48"/>
      <c r="H317" s="48"/>
      <c r="I317" s="24"/>
      <c r="J317" s="24"/>
      <c r="K317" s="39">
        <f>SUMIF('Composição dos serv'!A:A,B317,'Composição dos serv'!K:K)</f>
        <v>0</v>
      </c>
      <c r="L317" s="40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ht="14.25" hidden="1" customHeight="1">
      <c r="A318" s="26" t="str">
        <f>A317</f>
        <v>D33.8</v>
      </c>
      <c r="B318" s="50" t="s">
        <v>242</v>
      </c>
      <c r="C318" s="49" t="str">
        <f>VLOOKUP(B318,'Composição dos serv'!A:I,3,FALSE)</f>
        <v>Transporte e espalhamento Manual do entulho a ser reutilizado</v>
      </c>
      <c r="D318" s="50" t="s">
        <v>291</v>
      </c>
      <c r="E318" s="49"/>
      <c r="F318" s="52">
        <f>IF(E318=1,ROUNDUP((IF(E286&lt;&gt;"",F286,0)+IF(E287&lt;&gt;"",F287,0)+IF(E289&lt;&gt;"",F289,0)+IF(E290&lt;&gt;"",F290*0.34,0)+IF(E293&lt;&gt;"",F293*0.43,0)+IF(E296&lt;&gt;"",F296*0.8,0)+IF(E299&lt;&gt;"",F299*(0.78),0)+IF(E303&lt;&gt;"",F303*0.98,0)+IF(E305&lt;&gt;"",F305*0.91,0)+IF(E306&lt;&gt;"",F306*0.26,0)+IF(E307&lt;&gt;"",F307*0.24,0)+IF(E308&lt;&gt;"",F308,0)),2),0)</f>
        <v>0</v>
      </c>
      <c r="G318" s="51">
        <f>SUMIF('Composição dos serv'!A:A,B318,'Composição dos serv'!I:I)</f>
        <v>0</v>
      </c>
      <c r="H318" s="51">
        <f t="shared" ref="H318:H319" si="84">F318*G318</f>
        <v>0</v>
      </c>
      <c r="I318" s="24"/>
      <c r="J318" s="24"/>
      <c r="K318" s="39">
        <f>SUMIF('Composição dos serv'!A:A,B318,'Composição dos serv'!K:K)</f>
        <v>0.15000000000000002</v>
      </c>
      <c r="L318" s="40">
        <f t="shared" ref="L318:L321" si="85">ROUNDUP(K318*F318,0)</f>
        <v>0</v>
      </c>
      <c r="M318" s="45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ht="14.25" hidden="1" customHeight="1">
      <c r="A319" s="26" t="str">
        <f>A317</f>
        <v>D33.8</v>
      </c>
      <c r="B319" s="50" t="s">
        <v>246</v>
      </c>
      <c r="C319" s="49" t="str">
        <f>VLOOKUP(B319,'Composição dos serv'!A:I,3,FALSE)</f>
        <v>Remoção e Transporte Mecanizado do entulho a ser reutilizado</v>
      </c>
      <c r="D319" s="50" t="s">
        <v>291</v>
      </c>
      <c r="E319" s="49"/>
      <c r="F319" s="52">
        <f>IF(E319=1,SUM(F286:F316)-H323,0)</f>
        <v>0</v>
      </c>
      <c r="G319" s="51">
        <f>SUMIF('Composição dos serv'!A:A,B319,'Composição dos serv'!I:I)</f>
        <v>0</v>
      </c>
      <c r="H319" s="51">
        <f t="shared" si="84"/>
        <v>0</v>
      </c>
      <c r="I319" s="24"/>
      <c r="J319" s="24"/>
      <c r="K319" s="39">
        <f>SUMIF('Composição dos serv'!A:A,B319,'Composição dos serv'!K:K)</f>
        <v>0.02</v>
      </c>
      <c r="L319" s="40">
        <f t="shared" si="85"/>
        <v>0</v>
      </c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ht="14.25" customHeight="1">
      <c r="A320" s="26" t="str">
        <f>A317</f>
        <v>D33.8</v>
      </c>
      <c r="B320" s="50" t="s">
        <v>252</v>
      </c>
      <c r="C320" s="49" t="str">
        <f>VLOOKUP(B320,'Composição dos serv'!A:I,3,FALSE)</f>
        <v>Remoção do entulho com caçamba</v>
      </c>
      <c r="D320" s="50" t="s">
        <v>291</v>
      </c>
      <c r="E320" s="49">
        <v>1</v>
      </c>
      <c r="F320" s="52">
        <f>IF(E320=1,SUM(F286:F316),0)</f>
        <v>163.34000000000003</v>
      </c>
      <c r="G320" s="51">
        <f>SUMIF('Composição dos serv'!A:A,B320,'Composição dos serv'!I:I)</f>
        <v>0</v>
      </c>
      <c r="H320" s="51">
        <f>IF(E320&gt;1,"OPÇÃO ERRADA",F320*G320)+IF(G323=1,H323*G320,0)</f>
        <v>0</v>
      </c>
      <c r="I320" s="24"/>
      <c r="J320" s="24"/>
      <c r="K320" s="39">
        <f>SUMIF('Composição dos serv'!A:A,B320,'Composição dos serv'!K:K)</f>
        <v>0.02</v>
      </c>
      <c r="L320" s="40">
        <f t="shared" si="85"/>
        <v>4</v>
      </c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3" ht="14.25" hidden="1" customHeight="1">
      <c r="A321" s="26" t="str">
        <f>A317</f>
        <v>D33.8</v>
      </c>
      <c r="B321" s="50" t="s">
        <v>256</v>
      </c>
      <c r="C321" s="49" t="str">
        <f>VLOOKUP(B321,'Composição dos serv'!A:I,3,FALSE)</f>
        <v>Remoção e Transporte Mecanizado do entulho para bota fora</v>
      </c>
      <c r="D321" s="50" t="s">
        <v>291</v>
      </c>
      <c r="E321" s="49"/>
      <c r="F321" s="52">
        <f>IF(E321=1,SUM(F286:F316),0)</f>
        <v>0</v>
      </c>
      <c r="G321" s="51">
        <f>SUMIF('Composição dos serv'!A:A,B321,'Composição dos serv'!I:I)</f>
        <v>0</v>
      </c>
      <c r="H321" s="51">
        <f>IF(E321&gt;1,"OPÇÃO ERRADA",F321*G321)+IF(G323=2,H323*G321,0)</f>
        <v>0</v>
      </c>
      <c r="I321" s="24"/>
      <c r="J321" s="24"/>
      <c r="K321" s="39">
        <f>SUMIF('Composição dos serv'!A:A,B321,'Composição dos serv'!K:K)</f>
        <v>7.9999999999999988E-2</v>
      </c>
      <c r="L321" s="40">
        <f t="shared" si="85"/>
        <v>0</v>
      </c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3" ht="14.25" customHeight="1">
      <c r="A322" s="26" t="str">
        <f>A317</f>
        <v>D33.8</v>
      </c>
      <c r="B322" s="50" t="s">
        <v>264</v>
      </c>
      <c r="C322" s="49" t="str">
        <f>VLOOKUP(B322,'Composição dos serv'!A:I,3,FALSE)</f>
        <v>Remoção de telhas em cimento amianto</v>
      </c>
      <c r="D322" s="26" t="str">
        <f>VLOOKUP(B322,'Composição dos serv'!A:I,4,FALSE)</f>
        <v>m²</v>
      </c>
      <c r="E322" s="49">
        <f>SUM(E294:E295)</f>
        <v>150</v>
      </c>
      <c r="F322" s="52"/>
      <c r="G322" s="51">
        <f>SUMIF('Composição dos serv'!A:A,B322,'Composição dos serv'!I:I)</f>
        <v>0</v>
      </c>
      <c r="H322" s="51">
        <f>G322*E322</f>
        <v>0</v>
      </c>
      <c r="I322" s="24"/>
      <c r="J322" s="24"/>
      <c r="K322" s="39"/>
      <c r="L322" s="40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3" ht="14.25" customHeight="1">
      <c r="A323" s="53"/>
      <c r="B323" s="53"/>
      <c r="C323" s="37" t="str">
        <f>IF(E320&lt;&gt;1,IF(E321&lt;&gt;1,IF(H323&lt;&gt;0,"Há Material não reutilizavel qual a destinação para ele?",""),""),"")</f>
        <v/>
      </c>
      <c r="D323" s="168" t="str">
        <f>IF(E320&lt;&gt;1,IF(E321&lt;&gt;1,IF(H323&lt;&gt;0,"Caçamba = 1; Aterro = 2",""),""),"")</f>
        <v/>
      </c>
      <c r="E323" s="169"/>
      <c r="F323" s="170"/>
      <c r="G323" s="37">
        <v>1</v>
      </c>
      <c r="H323" s="54">
        <f>IF(E320=1,0,IF(E321=1,0,ROUNDUP((IF(E290&lt;&gt;"",F290*0.66,0)+IF(E293&lt;&gt;"",F293*0.57,0)+IF(E295&lt;&gt;"",F295,0)+IF(E296&lt;&gt;"",F296*0.2,0)+IF(E297&lt;&gt;"",F297,0)+IF(E299&lt;&gt;"",F299*0.22,0)+IF(E300&lt;&gt;"",F300,0)+IF(E301&lt;&gt;"",F301,0)+IF(E303&lt;&gt;"",F303*0.02,0)+IF(E305&lt;&gt;"",F305*0.09,0)+IF(E306&lt;&gt;"",F306*0.74,0)+IF(E307&lt;&gt;"",F307*(1-0.24),0)+IF(E310&lt;&gt;"",F310,0)+IF(E311&lt;&gt;"",F311,0)+IF(E312&lt;&gt;"",F312,0)+IF(E313&lt;&gt;"",F313,0)+IF(E314&lt;&gt;"",F314,0)+IF(E315&lt;&gt;"",F315,0)+IF(E316&lt;&gt;"",F316,0)+IF(E294&lt;&gt;"",F294,0)+IF(E292&lt;&gt;"",F292,0)),2)))</f>
        <v>0</v>
      </c>
      <c r="I323" s="24"/>
      <c r="J323" s="24"/>
      <c r="K323" s="39"/>
      <c r="L323" s="40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ht="6" customHeight="1">
      <c r="I324" s="24"/>
      <c r="J324" s="24"/>
      <c r="K324" s="39">
        <f>SUMIF('Composição dos serv'!A:A,'PESM Itutinga Piloes pt2'!B324,'Composição dos serv'!K:K)</f>
        <v>0</v>
      </c>
      <c r="L324" s="40">
        <f>ROUNDUP(K324*E324,0)</f>
        <v>0</v>
      </c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3" ht="14.25" customHeight="1">
      <c r="A325" s="80" t="str">
        <f>A283</f>
        <v>D33</v>
      </c>
      <c r="B325" s="179" t="str">
        <f>C283</f>
        <v>EDIFICAÇÃO 22 - Gleba D33</v>
      </c>
      <c r="C325" s="169"/>
      <c r="D325" s="180" t="s">
        <v>280</v>
      </c>
      <c r="E325" s="169"/>
      <c r="F325" s="169"/>
      <c r="G325" s="82">
        <f>SUM(H286:H322)</f>
        <v>0</v>
      </c>
      <c r="H325" s="83"/>
      <c r="I325" s="24"/>
      <c r="J325" s="24"/>
      <c r="K325" s="39">
        <f>IF(SUM(L318:L321)&gt;SUM(L286:L316),SUM(L318:L321),SUM(L286:L316))</f>
        <v>41</v>
      </c>
      <c r="L325" s="40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3" ht="9.75" customHeight="1">
      <c r="A326" s="66"/>
      <c r="B326" s="53"/>
      <c r="D326" s="53"/>
      <c r="G326" s="67"/>
      <c r="H326" s="67"/>
      <c r="I326" s="24"/>
      <c r="J326" s="24"/>
      <c r="K326" s="39">
        <f>SUMIF('Composição dos serv'!A:A,'PESM Itutinga Piloes pt2'!B326,'Composição dos serv'!K:K)</f>
        <v>0</v>
      </c>
      <c r="L326" s="40">
        <f t="shared" ref="L326:L328" si="86">ROUNDUP(K326*E326,0)</f>
        <v>0</v>
      </c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:23" ht="19.5" customHeight="1">
      <c r="A327" s="84" t="s">
        <v>343</v>
      </c>
      <c r="B327" s="84">
        <v>2</v>
      </c>
      <c r="C327" s="85" t="s">
        <v>344</v>
      </c>
      <c r="D327" s="85"/>
      <c r="E327" s="85"/>
      <c r="F327" s="85"/>
      <c r="G327" s="85"/>
      <c r="H327" s="85"/>
      <c r="I327" s="24"/>
      <c r="J327" s="24"/>
      <c r="K327" s="39">
        <f>SUMIF('Composição dos serv'!A:A,'PESM Itutinga Piloes pt2'!B327,'Composição dos serv'!K:K)</f>
        <v>0</v>
      </c>
      <c r="L327" s="40">
        <f t="shared" si="86"/>
        <v>0</v>
      </c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 ht="6" customHeight="1">
      <c r="A328" s="26"/>
      <c r="B328" s="66"/>
      <c r="C328" s="66"/>
      <c r="D328" s="66"/>
      <c r="E328" s="66"/>
      <c r="F328" s="66"/>
      <c r="G328" s="66"/>
      <c r="H328" s="66"/>
      <c r="I328" s="24"/>
      <c r="J328" s="24"/>
      <c r="K328" s="39">
        <f>SUMIF('Composição dos serv'!A:A,'PESM Itutinga Piloes pt2'!B328,'Composição dos serv'!K:K)</f>
        <v>0</v>
      </c>
      <c r="L328" s="40">
        <f t="shared" si="86"/>
        <v>0</v>
      </c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:23" ht="14.25" customHeight="1">
      <c r="A329" s="33" t="str">
        <f>CONCATENATE(A327,".1")</f>
        <v>F01.1</v>
      </c>
      <c r="B329" s="33" t="s">
        <v>67</v>
      </c>
      <c r="C329" s="48" t="str">
        <f>VLOOKUP(B329,'Composição dos serv'!A:I,3,FALSE)</f>
        <v>DEMOLIÇÃO DE CALÇADAS E/OU CAMINHOS</v>
      </c>
      <c r="D329" s="48"/>
      <c r="E329" s="48"/>
      <c r="F329" s="48"/>
      <c r="G329" s="48"/>
      <c r="H329" s="48"/>
      <c r="I329" s="24"/>
      <c r="J329" s="24"/>
      <c r="K329" s="31"/>
      <c r="L329" s="32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ht="14.25" hidden="1" customHeight="1">
      <c r="A330" s="26" t="str">
        <f>A329</f>
        <v>F01.1</v>
      </c>
      <c r="B330" s="26" t="s">
        <v>69</v>
      </c>
      <c r="C330" s="49" t="str">
        <f>VLOOKUP(B330,'Composição dos serv'!A:I,3,FALSE)</f>
        <v>Demolição de calçada ou caminhos</v>
      </c>
      <c r="D330" s="50" t="str">
        <f>VLOOKUP(B330,'Composição dos serv'!A:I,4,FALSE)</f>
        <v>m²</v>
      </c>
      <c r="E330" s="49"/>
      <c r="F330" s="49">
        <f>ROUNDUP(E330*0.15,2)</f>
        <v>0</v>
      </c>
      <c r="G330" s="51">
        <f>SUMIF('Composição dos serv'!A:A,'PESM Itutinga Piloes pt2'!B330,'Composição dos serv'!I:I)</f>
        <v>0</v>
      </c>
      <c r="H330" s="51">
        <f t="shared" ref="H330:H331" si="87">E330*G330</f>
        <v>0</v>
      </c>
      <c r="I330" s="24"/>
      <c r="J330" s="24"/>
      <c r="K330" s="39">
        <f>SUMIF('Composição dos serv'!A:A,B330,'Composição dos serv'!K:K)</f>
        <v>0.12</v>
      </c>
      <c r="L330" s="40">
        <f t="shared" ref="L330:L360" si="88">ROUNDUP(K330*E330,0)</f>
        <v>0</v>
      </c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:23" ht="14.25" hidden="1" customHeight="1">
      <c r="A331" s="26" t="str">
        <f>A329</f>
        <v>F01.1</v>
      </c>
      <c r="B331" s="26" t="s">
        <v>75</v>
      </c>
      <c r="C331" s="37" t="str">
        <f>VLOOKUP(B331,'Composição dos serv'!A:I,3,FALSE)</f>
        <v>Demolição de via Asfaltada, em paralelepípedo ou intertravados</v>
      </c>
      <c r="D331" s="26" t="str">
        <f>VLOOKUP(B331,'Composição dos serv'!A:I,4,FALSE)</f>
        <v>m²</v>
      </c>
      <c r="E331" s="37"/>
      <c r="F331" s="37">
        <f>ROUNDUP(E331*0.2,2)</f>
        <v>0</v>
      </c>
      <c r="G331" s="38">
        <f>SUMIF('Composição dos serv'!A:A,'PESM Itutinga Piloes pt2'!B331,'Composição dos serv'!I:I)</f>
        <v>0</v>
      </c>
      <c r="H331" s="38">
        <f t="shared" si="87"/>
        <v>0</v>
      </c>
      <c r="I331" s="24"/>
      <c r="J331" s="24"/>
      <c r="K331" s="39">
        <f>SUMIF('Composição dos serv'!A:A,B331,'Composição dos serv'!K:K)</f>
        <v>0.06</v>
      </c>
      <c r="L331" s="40">
        <f t="shared" si="88"/>
        <v>0</v>
      </c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:23" ht="14.25" customHeight="1">
      <c r="A332" s="33" t="str">
        <f>CONCATENATE(A327,".2")</f>
        <v>F01.2</v>
      </c>
      <c r="B332" s="33" t="s">
        <v>85</v>
      </c>
      <c r="C332" s="34" t="str">
        <f>VLOOKUP(B332,'Composição dos serv'!A:I,3,FALSE)</f>
        <v>DEMOLIÇÃO DE MUROS E CERCAS</v>
      </c>
      <c r="D332" s="35"/>
      <c r="E332" s="35"/>
      <c r="F332" s="35"/>
      <c r="G332" s="35"/>
      <c r="H332" s="36"/>
      <c r="I332" s="24"/>
      <c r="J332" s="24"/>
      <c r="K332" s="39">
        <f>SUMIF('Composição dos serv'!A:A,B332,'Composição dos serv'!K:K)</f>
        <v>0</v>
      </c>
      <c r="L332" s="40">
        <f t="shared" si="88"/>
        <v>0</v>
      </c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:23" ht="14.25" customHeight="1">
      <c r="A333" s="26" t="str">
        <f>A332</f>
        <v>F01.2</v>
      </c>
      <c r="B333" s="26" t="s">
        <v>87</v>
      </c>
      <c r="C333" s="37" t="str">
        <f>VLOOKUP(B333,'Composição dos serv'!A:I,3,FALSE)</f>
        <v>Demolição de muro em alvenaria ou alambrados</v>
      </c>
      <c r="D333" s="26" t="str">
        <f>VLOOKUP(B333,'Composição dos serv'!A:I,4,FALSE)</f>
        <v>m</v>
      </c>
      <c r="E333" s="37">
        <v>55</v>
      </c>
      <c r="F333" s="37">
        <f>ROUNDUP(E333*0.2*2.4,2)</f>
        <v>26.4</v>
      </c>
      <c r="G333" s="38">
        <f>SUMIF('Composição dos serv'!A:A,'PESM Itutinga Piloes pt2'!B333,'Composição dos serv'!I:I)</f>
        <v>0</v>
      </c>
      <c r="H333" s="38">
        <f t="shared" ref="H333:H334" si="89">E333*G333</f>
        <v>0</v>
      </c>
      <c r="I333" s="24"/>
      <c r="J333" s="24"/>
      <c r="K333" s="39">
        <f>SUMIF('Composição dos serv'!A:A,B333,'Composição dos serv'!K:K)</f>
        <v>0.26</v>
      </c>
      <c r="L333" s="40">
        <f t="shared" si="88"/>
        <v>15</v>
      </c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ht="14.25" customHeight="1">
      <c r="A334" s="26" t="str">
        <f>A332</f>
        <v>F01.2</v>
      </c>
      <c r="B334" s="26" t="s">
        <v>93</v>
      </c>
      <c r="C334" s="37" t="str">
        <f>VLOOKUP(B334,'Composição dos serv'!A:I,3,FALSE)</f>
        <v>Demolição de Cercas</v>
      </c>
      <c r="D334" s="26" t="str">
        <f>VLOOKUP(B334,'Composição dos serv'!A:I,4,FALSE)</f>
        <v>m</v>
      </c>
      <c r="E334" s="37">
        <v>200</v>
      </c>
      <c r="F334" s="37">
        <f>ROUNDUP(E334*0.1*1.8,2)</f>
        <v>36</v>
      </c>
      <c r="G334" s="38">
        <f>SUMIF('Composição dos serv'!A:A,'PESM Itutinga Piloes pt2'!B334,'Composição dos serv'!I:I)</f>
        <v>0</v>
      </c>
      <c r="H334" s="38">
        <f t="shared" si="89"/>
        <v>0</v>
      </c>
      <c r="I334" s="24"/>
      <c r="J334" s="24"/>
      <c r="K334" s="39">
        <f>SUMIF('Composição dos serv'!A:A,B334,'Composição dos serv'!K:K)</f>
        <v>0.06</v>
      </c>
      <c r="L334" s="40">
        <f t="shared" si="88"/>
        <v>12</v>
      </c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:23" ht="14.25" customHeight="1">
      <c r="A335" s="33" t="str">
        <f>CONCATENATE(A327,".3")</f>
        <v>F01.3</v>
      </c>
      <c r="B335" s="33" t="s">
        <v>99</v>
      </c>
      <c r="C335" s="48" t="str">
        <f>VLOOKUP(B335,'Composição dos serv'!A:I,3,FALSE)</f>
        <v>COBERTURA</v>
      </c>
      <c r="D335" s="48"/>
      <c r="E335" s="48"/>
      <c r="F335" s="48"/>
      <c r="G335" s="48"/>
      <c r="H335" s="48"/>
      <c r="I335" s="24"/>
      <c r="J335" s="24"/>
      <c r="K335" s="39">
        <f>SUMIF('Composição dos serv'!A:A,B335,'Composição dos serv'!K:K)</f>
        <v>0</v>
      </c>
      <c r="L335" s="40">
        <f t="shared" si="88"/>
        <v>0</v>
      </c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14.25" customHeight="1">
      <c r="A336" s="26" t="str">
        <f t="shared" ref="A336:A341" si="90">A335</f>
        <v>F01.3</v>
      </c>
      <c r="B336" s="26" t="s">
        <v>101</v>
      </c>
      <c r="C336" s="37" t="str">
        <f>VLOOKUP(B336,'Composição dos serv'!A:I,3,FALSE)</f>
        <v>Retirada de Estrutura de madeira sem telhas</v>
      </c>
      <c r="D336" s="26" t="str">
        <f>VLOOKUP(B336,'Composição dos serv'!A:I,4,FALSE)</f>
        <v>m²</v>
      </c>
      <c r="E336" s="37">
        <v>24</v>
      </c>
      <c r="F336" s="37">
        <f>ROUNDUP(E336*0.2,2)</f>
        <v>4.8</v>
      </c>
      <c r="G336" s="38">
        <f>SUMIF('Composição dos serv'!A:A,'PESM Itutinga Piloes pt2'!B336,'Composição dos serv'!I:I)</f>
        <v>0</v>
      </c>
      <c r="H336" s="38">
        <f t="shared" ref="H336:H341" si="91">E336*G336</f>
        <v>0</v>
      </c>
      <c r="I336" s="24"/>
      <c r="J336" s="24"/>
      <c r="K336" s="39">
        <f>SUMIF('Composição dos serv'!A:A,B336,'Composição dos serv'!K:K)</f>
        <v>0.03</v>
      </c>
      <c r="L336" s="40">
        <f t="shared" si="88"/>
        <v>1</v>
      </c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:23" ht="14.25" hidden="1" customHeight="1">
      <c r="A337" s="26" t="str">
        <f t="shared" si="90"/>
        <v>F01.3</v>
      </c>
      <c r="B337" s="26" t="s">
        <v>105</v>
      </c>
      <c r="C337" s="37" t="str">
        <f>VLOOKUP(B337,'Composição dos serv'!A:I,3,FALSE)</f>
        <v>Retirada de Telhas de Barro com Estrutura em madeira (tesouras, treliças,...)</v>
      </c>
      <c r="D337" s="26" t="str">
        <f>VLOOKUP(B337,'Composição dos serv'!A:I,4,FALSE)</f>
        <v>m²</v>
      </c>
      <c r="E337" s="37"/>
      <c r="F337" s="37">
        <f>ROUNDUP(E337*0.08+E337*0.2,2)</f>
        <v>0</v>
      </c>
      <c r="G337" s="38">
        <f>SUMIF('Composição dos serv'!A:A,'PESM Itutinga Piloes pt2'!B337,'Composição dos serv'!I:I)</f>
        <v>0</v>
      </c>
      <c r="H337" s="38">
        <f t="shared" si="91"/>
        <v>0</v>
      </c>
      <c r="I337" s="24"/>
      <c r="J337" s="24"/>
      <c r="K337" s="39">
        <f>SUMIF('Composição dos serv'!A:A,B337,'Composição dos serv'!K:K)</f>
        <v>0.06</v>
      </c>
      <c r="L337" s="40">
        <f t="shared" si="88"/>
        <v>0</v>
      </c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 ht="14.25" hidden="1" customHeight="1">
      <c r="A338" s="26" t="str">
        <f t="shared" si="90"/>
        <v>F01.3</v>
      </c>
      <c r="B338" s="26" t="s">
        <v>111</v>
      </c>
      <c r="C338" s="37" t="str">
        <f>VLOOKUP(B338,'Composição dos serv'!A:I,3,FALSE)</f>
        <v>Retirada de Telhas de amianto Sem Estrutura</v>
      </c>
      <c r="D338" s="26" t="str">
        <f>VLOOKUP(B338,'Composição dos serv'!A:I,4,FALSE)</f>
        <v>m²</v>
      </c>
      <c r="E338" s="37"/>
      <c r="F338" s="37"/>
      <c r="G338" s="38">
        <f>SUMIF('Composição dos serv'!A:A,'PESM Itutinga Piloes pt2'!B338,'Composição dos serv'!I:I)</f>
        <v>0</v>
      </c>
      <c r="H338" s="38">
        <f t="shared" si="91"/>
        <v>0</v>
      </c>
      <c r="I338" s="24"/>
      <c r="J338" s="24"/>
      <c r="K338" s="39">
        <f>SUMIF('Composição dos serv'!A:A,B338,'Composição dos serv'!K:K)</f>
        <v>0.02</v>
      </c>
      <c r="L338" s="40">
        <f t="shared" si="88"/>
        <v>0</v>
      </c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:23" ht="14.25" customHeight="1">
      <c r="A339" s="26" t="str">
        <f t="shared" si="90"/>
        <v>F01.3</v>
      </c>
      <c r="B339" s="26" t="s">
        <v>117</v>
      </c>
      <c r="C339" s="37" t="str">
        <f>VLOOKUP(B339,'Composição dos serv'!A:I,3,FALSE)</f>
        <v>Retirada de Telhas de amianto com Estrutura em madeira (tesouras, treliças,...)</v>
      </c>
      <c r="D339" s="26" t="str">
        <f>VLOOKUP(B339,'Composição dos serv'!A:I,4,FALSE)</f>
        <v>m²</v>
      </c>
      <c r="E339" s="37">
        <v>20</v>
      </c>
      <c r="F339" s="37">
        <f>ROUNDUP(E339*0.1,2)</f>
        <v>2</v>
      </c>
      <c r="G339" s="38">
        <f>SUMIF('Composição dos serv'!A:A,'PESM Itutinga Piloes pt2'!B339,'Composição dos serv'!I:I)</f>
        <v>0</v>
      </c>
      <c r="H339" s="38">
        <f t="shared" si="91"/>
        <v>0</v>
      </c>
      <c r="I339" s="24"/>
      <c r="J339" s="24"/>
      <c r="K339" s="39">
        <f>SUMIF('Composição dos serv'!A:A,B339,'Composição dos serv'!K:K)</f>
        <v>0.04</v>
      </c>
      <c r="L339" s="40">
        <f t="shared" si="88"/>
        <v>1</v>
      </c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:23" ht="14.25" customHeight="1">
      <c r="A340" s="26" t="str">
        <f t="shared" si="90"/>
        <v>F01.3</v>
      </c>
      <c r="B340" s="26" t="s">
        <v>121</v>
      </c>
      <c r="C340" s="37" t="str">
        <f>VLOOKUP(B340,'Composição dos serv'!A:I,3,FALSE)</f>
        <v>Retirada de Laje em concreto</v>
      </c>
      <c r="D340" s="26" t="str">
        <f>VLOOKUP(B340,'Composição dos serv'!A:I,4,FALSE)</f>
        <v>m²</v>
      </c>
      <c r="E340" s="37">
        <v>20</v>
      </c>
      <c r="F340" s="37">
        <f>ROUNDUP(E340*0.12,2)</f>
        <v>2.4</v>
      </c>
      <c r="G340" s="38">
        <f>SUMIF('Composição dos serv'!A:A,'PESM Itutinga Piloes pt2'!B340,'Composição dos serv'!I:I)</f>
        <v>0</v>
      </c>
      <c r="H340" s="38">
        <f t="shared" si="91"/>
        <v>0</v>
      </c>
      <c r="I340" s="24"/>
      <c r="J340" s="24"/>
      <c r="K340" s="39">
        <f>SUMIF('Composição dos serv'!A:A,B340,'Composição dos serv'!K:K)</f>
        <v>0.09</v>
      </c>
      <c r="L340" s="40">
        <f t="shared" si="88"/>
        <v>2</v>
      </c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ht="14.25" customHeight="1">
      <c r="A341" s="26" t="str">
        <f t="shared" si="90"/>
        <v>F01.3</v>
      </c>
      <c r="B341" s="26" t="s">
        <v>129</v>
      </c>
      <c r="C341" s="37" t="str">
        <f>VLOOKUP(B341,'Composição dos serv'!A:I,3,FALSE)</f>
        <v>Retirada de Forros qualquer com sistema de fixação</v>
      </c>
      <c r="D341" s="26" t="str">
        <f>VLOOKUP(B341,'Composição dos serv'!A:I,4,FALSE)</f>
        <v>m²</v>
      </c>
      <c r="E341" s="37">
        <v>12</v>
      </c>
      <c r="F341" s="37">
        <f>ROUNDUP(E341*0.1,2)</f>
        <v>1.2</v>
      </c>
      <c r="G341" s="38">
        <f>SUMIF('Composição dos serv'!A:A,'PESM Itutinga Piloes pt2'!B341,'Composição dos serv'!I:I)</f>
        <v>0</v>
      </c>
      <c r="H341" s="38">
        <f t="shared" si="91"/>
        <v>0</v>
      </c>
      <c r="I341" s="24"/>
      <c r="J341" s="24"/>
      <c r="K341" s="39">
        <f>SUMIF('Composição dos serv'!A:A,B341,'Composição dos serv'!K:K)</f>
        <v>0.04</v>
      </c>
      <c r="L341" s="40">
        <f t="shared" si="88"/>
        <v>1</v>
      </c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ht="14.25" customHeight="1">
      <c r="A342" s="33" t="str">
        <f>CONCATENATE(A327,".4")</f>
        <v>F01.4</v>
      </c>
      <c r="B342" s="33" t="s">
        <v>133</v>
      </c>
      <c r="C342" s="34" t="str">
        <f>VLOOKUP(B342,'Composição dos serv'!A:I,3,FALSE)</f>
        <v>PAREDES</v>
      </c>
      <c r="D342" s="35"/>
      <c r="E342" s="35"/>
      <c r="F342" s="35"/>
      <c r="G342" s="35"/>
      <c r="H342" s="36"/>
      <c r="I342" s="24"/>
      <c r="J342" s="24"/>
      <c r="K342" s="39">
        <f>SUMIF('Composição dos serv'!A:A,B342,'Composição dos serv'!K:K)</f>
        <v>0</v>
      </c>
      <c r="L342" s="40">
        <f t="shared" si="88"/>
        <v>0</v>
      </c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ht="14.25" customHeight="1">
      <c r="A343" s="26" t="str">
        <f>A342</f>
        <v>F01.4</v>
      </c>
      <c r="B343" s="26" t="s">
        <v>135</v>
      </c>
      <c r="C343" s="37" t="str">
        <f>VLOOKUP(B343,'Composição dos serv'!A:I,3,FALSE)</f>
        <v>Parede em Alvenaria - usar área construida</v>
      </c>
      <c r="D343" s="26" t="str">
        <f>VLOOKUP(B343,'Composição dos serv'!A:I,4,FALSE)</f>
        <v>m²</v>
      </c>
      <c r="E343" s="49">
        <v>20</v>
      </c>
      <c r="F343" s="37">
        <f>ROUNDUP(E343*0.8,2)</f>
        <v>16</v>
      </c>
      <c r="G343" s="38">
        <f>SUMIF('Composição dos serv'!A:A,B343,'Composição dos serv'!I:I)</f>
        <v>0</v>
      </c>
      <c r="H343" s="38">
        <f t="shared" ref="H343:H345" si="92">E343*G343</f>
        <v>0</v>
      </c>
      <c r="I343" s="24"/>
      <c r="J343" s="24"/>
      <c r="K343" s="39">
        <f>SUMIF('Composição dos serv'!A:A,B343,'Composição dos serv'!K:K)</f>
        <v>0.15000000000000002</v>
      </c>
      <c r="L343" s="40">
        <f t="shared" si="88"/>
        <v>3</v>
      </c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:23" ht="14.25" hidden="1" customHeight="1">
      <c r="A344" s="26" t="str">
        <f>A342</f>
        <v>F01.4</v>
      </c>
      <c r="B344" s="26" t="s">
        <v>143</v>
      </c>
      <c r="C344" s="37" t="str">
        <f>VLOOKUP(B344,'Composição dos serv'!A:I,3,FALSE)</f>
        <v>Parede em Madeirite - Chapas de madeira compensada ou aglomerada - área construída</v>
      </c>
      <c r="D344" s="26" t="str">
        <f>VLOOKUP(B344,'Composição dos serv'!A:I,4,FALSE)</f>
        <v>m²</v>
      </c>
      <c r="E344" s="37"/>
      <c r="F344" s="37">
        <f>ROUNDUP(E344*0.21,2)</f>
        <v>0</v>
      </c>
      <c r="G344" s="38">
        <f>SUMIF('Composição dos serv'!A:A,B344,'Composição dos serv'!I:I)</f>
        <v>0</v>
      </c>
      <c r="H344" s="38">
        <f t="shared" si="92"/>
        <v>0</v>
      </c>
      <c r="I344" s="24"/>
      <c r="J344" s="24"/>
      <c r="K344" s="39">
        <f>SUMIF('Composição dos serv'!A:A,B344,'Composição dos serv'!K:K)</f>
        <v>0.15000000000000002</v>
      </c>
      <c r="L344" s="40">
        <f t="shared" si="88"/>
        <v>0</v>
      </c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:23" ht="14.25" hidden="1" customHeight="1">
      <c r="A345" s="26" t="str">
        <f>A342</f>
        <v>F01.4</v>
      </c>
      <c r="B345" s="26" t="s">
        <v>145</v>
      </c>
      <c r="C345" s="37" t="str">
        <f>VLOOKUP(B345,'Composição dos serv'!A:I,3,FALSE)</f>
        <v>Parede em Lambril de madeira - área construída</v>
      </c>
      <c r="D345" s="26" t="str">
        <f>VLOOKUP(B345,'Composição dos serv'!A:I,4,FALSE)</f>
        <v>m²</v>
      </c>
      <c r="E345" s="37"/>
      <c r="F345" s="37">
        <f>ROUNDUP(E345*4*0.12,2)</f>
        <v>0</v>
      </c>
      <c r="G345" s="38">
        <f>SUMIF('Composição dos serv'!A:A,B345,'Composição dos serv'!I:I)</f>
        <v>0</v>
      </c>
      <c r="H345" s="38">
        <f t="shared" si="92"/>
        <v>0</v>
      </c>
      <c r="I345" s="24"/>
      <c r="J345" s="24"/>
      <c r="K345" s="39">
        <f>SUMIF('Composição dos serv'!A:A,B345,'Composição dos serv'!K:K)</f>
        <v>0.35000000000000009</v>
      </c>
      <c r="L345" s="40">
        <f t="shared" si="88"/>
        <v>0</v>
      </c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ht="14.25" customHeight="1">
      <c r="A346" s="33" t="str">
        <f>CONCATENATE(A327,".5")</f>
        <v>F01.5</v>
      </c>
      <c r="B346" s="33" t="s">
        <v>153</v>
      </c>
      <c r="C346" s="34" t="str">
        <f>VLOOKUP(B346,'Composição dos serv'!A:I,3,FALSE)</f>
        <v>PISO E FUNDAÇÃO</v>
      </c>
      <c r="D346" s="35"/>
      <c r="E346" s="35"/>
      <c r="F346" s="35"/>
      <c r="G346" s="35"/>
      <c r="H346" s="36"/>
      <c r="I346" s="24"/>
      <c r="J346" s="24"/>
      <c r="K346" s="39">
        <f>SUMIF('Composição dos serv'!A:A,B346,'Composição dos serv'!K:K)</f>
        <v>0</v>
      </c>
      <c r="L346" s="40">
        <f t="shared" si="88"/>
        <v>0</v>
      </c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ht="14.25" hidden="1" customHeight="1">
      <c r="A347" s="26" t="str">
        <f>A346</f>
        <v>F01.5</v>
      </c>
      <c r="B347" s="26" t="s">
        <v>155</v>
      </c>
      <c r="C347" s="37" t="str">
        <f>VLOOKUP(B347,'Composição dos serv'!A:I,3,FALSE)</f>
        <v>Piso da edificação com fundação</v>
      </c>
      <c r="D347" s="26" t="str">
        <f>VLOOKUP(B347,'Composição dos serv'!A:I,4,FALSE)</f>
        <v>m²</v>
      </c>
      <c r="E347" s="37"/>
      <c r="F347" s="37">
        <f>ROUNDUP(E347*0.24,2)</f>
        <v>0</v>
      </c>
      <c r="G347" s="38">
        <f>SUMIF('Composição dos serv'!A:A,B347,'Composição dos serv'!I:I)</f>
        <v>0</v>
      </c>
      <c r="H347" s="38">
        <f>E347*G347</f>
        <v>0</v>
      </c>
      <c r="I347" s="24"/>
      <c r="J347" s="24"/>
      <c r="K347" s="39">
        <f>SUMIF('Composição dos serv'!A:A,B347,'Composição dos serv'!K:K)</f>
        <v>0.17</v>
      </c>
      <c r="L347" s="40">
        <f t="shared" si="88"/>
        <v>0</v>
      </c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ht="14.25" customHeight="1">
      <c r="A348" s="33" t="str">
        <f>CONCATENATE(A327,".6")</f>
        <v>F01.6</v>
      </c>
      <c r="B348" s="33" t="s">
        <v>161</v>
      </c>
      <c r="C348" s="48" t="str">
        <f>VLOOKUP(B348,'Composição dos serv'!A:I,3,FALSE)</f>
        <v>ESTRUTURAS DIVERSAS</v>
      </c>
      <c r="D348" s="48"/>
      <c r="E348" s="48"/>
      <c r="F348" s="48"/>
      <c r="G348" s="48"/>
      <c r="H348" s="48"/>
      <c r="I348" s="24"/>
      <c r="J348" s="24"/>
      <c r="K348" s="39">
        <f>SUMIF('Composição dos serv'!A:A,B348,'Composição dos serv'!K:K)</f>
        <v>0</v>
      </c>
      <c r="L348" s="40">
        <f t="shared" si="88"/>
        <v>0</v>
      </c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ht="14.25" hidden="1" customHeight="1">
      <c r="A349" s="26" t="str">
        <f>A348</f>
        <v>F01.6</v>
      </c>
      <c r="B349" s="26" t="s">
        <v>163</v>
      </c>
      <c r="C349" s="37" t="str">
        <f>VLOOKUP(B349,'Composição dos serv'!A:I,3,FALSE)</f>
        <v>Escada em concreto com corrimão</v>
      </c>
      <c r="D349" s="26" t="str">
        <f>VLOOKUP(B349,'Composição dos serv'!A:I,4,FALSE)</f>
        <v>m</v>
      </c>
      <c r="E349" s="49"/>
      <c r="F349" s="37">
        <f>ROUNDUP(E349*1.2*0.25,2)</f>
        <v>0</v>
      </c>
      <c r="G349" s="38">
        <f>SUMIF('Composição dos serv'!A:A,'PESM Itutinga Piloes pt2'!B349,'Composição dos serv'!I:I)</f>
        <v>0</v>
      </c>
      <c r="H349" s="38">
        <f t="shared" ref="H349:H352" si="93">E349*G349</f>
        <v>0</v>
      </c>
      <c r="I349" s="24"/>
      <c r="J349" s="24"/>
      <c r="K349" s="39">
        <f>SUMIF('Composição dos serv'!A:A,B349,'Composição dos serv'!K:K)</f>
        <v>0.39</v>
      </c>
      <c r="L349" s="40">
        <f t="shared" si="88"/>
        <v>0</v>
      </c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ht="14.25" customHeight="1">
      <c r="A350" s="26" t="str">
        <f>A348</f>
        <v>F01.6</v>
      </c>
      <c r="B350" s="26" t="s">
        <v>169</v>
      </c>
      <c r="C350" s="37" t="str">
        <f>VLOOKUP(B350,'Composição dos serv'!A:I,3,FALSE)</f>
        <v>Entrada de Energia - medidor</v>
      </c>
      <c r="D350" s="26" t="str">
        <f>VLOOKUP(B350,'Composição dos serv'!A:I,4,FALSE)</f>
        <v>un</v>
      </c>
      <c r="E350" s="37">
        <v>1</v>
      </c>
      <c r="F350" s="37">
        <f>ROUNDUP(E350*(3.2+(((3.1415*0.4^2)/4)*6)),2)</f>
        <v>3.96</v>
      </c>
      <c r="G350" s="38">
        <f>SUMIF('Composição dos serv'!A:A,'PESM Itutinga Piloes pt2'!B350,'Composição dos serv'!I:I)</f>
        <v>0</v>
      </c>
      <c r="H350" s="38">
        <f t="shared" si="93"/>
        <v>0</v>
      </c>
      <c r="I350" s="24"/>
      <c r="J350" s="24"/>
      <c r="K350" s="39">
        <f>SUMIF('Composição dos serv'!A:A,B350,'Composição dos serv'!K:K)</f>
        <v>1.7600000000000002</v>
      </c>
      <c r="L350" s="40">
        <f t="shared" si="88"/>
        <v>2</v>
      </c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14.25" customHeight="1">
      <c r="A351" s="26" t="str">
        <f>A348</f>
        <v>F01.6</v>
      </c>
      <c r="B351" s="26" t="s">
        <v>183</v>
      </c>
      <c r="C351" s="37" t="str">
        <f>VLOOKUP(B351,'Composição dos serv'!A:I,3,FALSE)</f>
        <v>Hidrômetro com abrigo</v>
      </c>
      <c r="D351" s="26" t="str">
        <f>VLOOKUP(B351,'Composição dos serv'!A:I,4,FALSE)</f>
        <v>un</v>
      </c>
      <c r="E351" s="37">
        <v>1</v>
      </c>
      <c r="F351" s="37">
        <f>ROUNDUP(E351*(1.7+0.1),2)</f>
        <v>1.8</v>
      </c>
      <c r="G351" s="38">
        <f>SUMIF('Composição dos serv'!A:A,'PESM Itutinga Piloes pt2'!B351,'Composição dos serv'!I:I)</f>
        <v>0</v>
      </c>
      <c r="H351" s="38">
        <f t="shared" si="93"/>
        <v>0</v>
      </c>
      <c r="I351" s="24"/>
      <c r="J351" s="24"/>
      <c r="K351" s="39">
        <f>SUMIF('Composição dos serv'!A:A,B351,'Composição dos serv'!K:K)</f>
        <v>0.44000000000000006</v>
      </c>
      <c r="L351" s="40">
        <f t="shared" si="88"/>
        <v>1</v>
      </c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ht="14.25" customHeight="1">
      <c r="A352" s="26" t="str">
        <f>A350</f>
        <v>F01.6</v>
      </c>
      <c r="B352" s="26" t="s">
        <v>191</v>
      </c>
      <c r="C352" s="37" t="str">
        <f>VLOOKUP(B352,'Composição dos serv'!A:I,3,FALSE)</f>
        <v>Aterro de Fossa com retirada de tampa</v>
      </c>
      <c r="D352" s="26" t="str">
        <f>VLOOKUP(B352,'Composição dos serv'!A:I,4,FALSE)</f>
        <v>un</v>
      </c>
      <c r="E352" s="37">
        <v>1</v>
      </c>
      <c r="F352" s="37">
        <f>ROUNDUP(E352*(0.4),2)</f>
        <v>0.4</v>
      </c>
      <c r="G352" s="38">
        <f>SUMIF('Composição dos serv'!A:A,'PESM Itutinga Piloes pt2'!B352,'Composição dos serv'!I:I)</f>
        <v>0</v>
      </c>
      <c r="H352" s="38">
        <f t="shared" si="93"/>
        <v>0</v>
      </c>
      <c r="I352" s="24"/>
      <c r="J352" s="24"/>
      <c r="K352" s="39">
        <f>SUMIF('Composição dos serv'!A:A,B352,'Composição dos serv'!K:K)</f>
        <v>0.85000000000000009</v>
      </c>
      <c r="L352" s="40">
        <f t="shared" si="88"/>
        <v>1</v>
      </c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14.25" customHeight="1">
      <c r="A353" s="33" t="str">
        <f>CONCATENATE(A327,".7")</f>
        <v>F01.7</v>
      </c>
      <c r="B353" s="33" t="s">
        <v>195</v>
      </c>
      <c r="C353" s="48" t="str">
        <f>VLOOKUP(B353,'Composição dos serv'!A:I,3,FALSE)</f>
        <v>ACABAMENTOS DIVERSOS e OUTROS</v>
      </c>
      <c r="D353" s="48"/>
      <c r="E353" s="48"/>
      <c r="F353" s="48"/>
      <c r="G353" s="48"/>
      <c r="H353" s="48"/>
      <c r="I353" s="24"/>
      <c r="J353" s="24"/>
      <c r="K353" s="39">
        <f>SUMIF('Composição dos serv'!A:A,B353,'Composição dos serv'!K:K)</f>
        <v>0</v>
      </c>
      <c r="L353" s="40">
        <f t="shared" si="88"/>
        <v>0</v>
      </c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:23" ht="14.25" customHeight="1">
      <c r="A354" s="26" t="str">
        <f>A353</f>
        <v>F01.7</v>
      </c>
      <c r="B354" s="50" t="s">
        <v>197</v>
      </c>
      <c r="C354" s="49" t="str">
        <f>VLOOKUP(B354,'Composição dos serv'!A:I,3,FALSE)</f>
        <v>Remoção de aparelhos sanitarios - por banheiro</v>
      </c>
      <c r="D354" s="50" t="str">
        <f>VLOOKUP(B354,'Composição dos serv'!A:I,4,FALSE)</f>
        <v>unid</v>
      </c>
      <c r="E354" s="49">
        <v>1</v>
      </c>
      <c r="F354" s="37">
        <f t="shared" ref="F354:F356" si="94">ROUNDUP(E354*1,2)</f>
        <v>1</v>
      </c>
      <c r="G354" s="51">
        <f>SUMIF('Composição dos serv'!A:A,B354,'Composição dos serv'!I:I)</f>
        <v>0</v>
      </c>
      <c r="H354" s="51">
        <f t="shared" ref="H354:H360" si="95">E354*G354</f>
        <v>0</v>
      </c>
      <c r="I354" s="24"/>
      <c r="J354" s="24"/>
      <c r="K354" s="39">
        <f>SUMIF('Composição dos serv'!A:A,B354,'Composição dos serv'!K:K)</f>
        <v>0.19</v>
      </c>
      <c r="L354" s="40">
        <f t="shared" si="88"/>
        <v>1</v>
      </c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14.25" customHeight="1">
      <c r="A355" s="26" t="str">
        <f>A353</f>
        <v>F01.7</v>
      </c>
      <c r="B355" s="50" t="s">
        <v>209</v>
      </c>
      <c r="C355" s="37" t="str">
        <f>VLOOKUP(B355,'Composição dos serv'!A:I,3,FALSE)</f>
        <v>Remoção de aparelhos sanitarios - Cozinha e Área de Serviço</v>
      </c>
      <c r="D355" s="26" t="str">
        <f>VLOOKUP(B355,'Composição dos serv'!A:I,4,FALSE)</f>
        <v>unid</v>
      </c>
      <c r="E355" s="37">
        <v>1</v>
      </c>
      <c r="F355" s="37">
        <f t="shared" si="94"/>
        <v>1</v>
      </c>
      <c r="G355" s="51">
        <f>SUMIF('Composição dos serv'!A:A,B355,'Composição dos serv'!I:I)</f>
        <v>0</v>
      </c>
      <c r="H355" s="38">
        <f t="shared" si="95"/>
        <v>0</v>
      </c>
      <c r="I355" s="24"/>
      <c r="J355" s="24"/>
      <c r="K355" s="39">
        <f>SUMIF('Composição dos serv'!A:A,B355,'Composição dos serv'!K:K)</f>
        <v>0.21</v>
      </c>
      <c r="L355" s="40">
        <f t="shared" si="88"/>
        <v>1</v>
      </c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ht="14.25" customHeight="1">
      <c r="A356" s="26" t="str">
        <f>A353</f>
        <v>F01.7</v>
      </c>
      <c r="B356" s="50" t="s">
        <v>215</v>
      </c>
      <c r="C356" s="37" t="str">
        <f>VLOOKUP(B356,'Composição dos serv'!A:I,3,FALSE)</f>
        <v>Remoção de caixa d'agua</v>
      </c>
      <c r="D356" s="26" t="str">
        <f>VLOOKUP(B356,'Composição dos serv'!A:I,4,FALSE)</f>
        <v>unid</v>
      </c>
      <c r="E356" s="37">
        <v>1</v>
      </c>
      <c r="F356" s="37">
        <f t="shared" si="94"/>
        <v>1</v>
      </c>
      <c r="G356" s="51">
        <f>SUMIF('Composição dos serv'!A:A,B356,'Composição dos serv'!I:I)</f>
        <v>0</v>
      </c>
      <c r="H356" s="38">
        <f t="shared" si="95"/>
        <v>0</v>
      </c>
      <c r="I356" s="24"/>
      <c r="J356" s="24"/>
      <c r="K356" s="39">
        <f>SUMIF('Composição dos serv'!A:A,B356,'Composição dos serv'!K:K)</f>
        <v>0.42000000000000004</v>
      </c>
      <c r="L356" s="40">
        <f t="shared" si="88"/>
        <v>1</v>
      </c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ht="14.25" hidden="1" customHeight="1">
      <c r="A357" s="26" t="str">
        <f>A353</f>
        <v>F01.7</v>
      </c>
      <c r="B357" s="50" t="s">
        <v>219</v>
      </c>
      <c r="C357" s="37" t="str">
        <f>VLOOKUP(B357,'Composição dos serv'!A:I,3,FALSE)</f>
        <v>Remoção do Sistema de Para raios - área do telhado</v>
      </c>
      <c r="D357" s="26" t="str">
        <f>VLOOKUP(B357,'Composição dos serv'!A:I,4,FALSE)</f>
        <v>m²</v>
      </c>
      <c r="E357" s="37"/>
      <c r="F357" s="37">
        <f>ROUNDUP(E357/60,2)</f>
        <v>0</v>
      </c>
      <c r="G357" s="51">
        <f>SUMIF('Composição dos serv'!A:A,B357,'Composição dos serv'!I:I)</f>
        <v>0</v>
      </c>
      <c r="H357" s="38">
        <f t="shared" si="95"/>
        <v>0</v>
      </c>
      <c r="I357" s="24"/>
      <c r="J357" s="24"/>
      <c r="K357" s="39">
        <f>SUMIF('Composição dos serv'!A:A,B357,'Composição dos serv'!K:K)</f>
        <v>0.05</v>
      </c>
      <c r="L357" s="40">
        <f t="shared" si="88"/>
        <v>0</v>
      </c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ht="14.25" customHeight="1">
      <c r="A358" s="26" t="str">
        <f>A353</f>
        <v>F01.7</v>
      </c>
      <c r="B358" s="50" t="s">
        <v>227</v>
      </c>
      <c r="C358" s="37" t="str">
        <f>VLOOKUP(B358,'Composição dos serv'!A:I,3,FALSE)</f>
        <v>Janelas</v>
      </c>
      <c r="D358" s="26" t="str">
        <f>VLOOKUP(B358,'Composição dos serv'!A:I,4,FALSE)</f>
        <v>un</v>
      </c>
      <c r="E358" s="37">
        <v>3</v>
      </c>
      <c r="F358" s="37">
        <f>ROUNDUP(E358*1.5*1.2*0.2,2)</f>
        <v>1.08</v>
      </c>
      <c r="G358" s="51">
        <f>SUMIF('Composição dos serv'!A:A,B358,'Composição dos serv'!I:I)</f>
        <v>0</v>
      </c>
      <c r="H358" s="38">
        <f t="shared" si="95"/>
        <v>0</v>
      </c>
      <c r="I358" s="24"/>
      <c r="J358" s="24"/>
      <c r="K358" s="39">
        <f>SUMIF('Composição dos serv'!A:A,B358,'Composição dos serv'!K:K)</f>
        <v>0</v>
      </c>
      <c r="L358" s="40">
        <f t="shared" si="88"/>
        <v>0</v>
      </c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ht="14.25" customHeight="1">
      <c r="A359" s="26" t="str">
        <f>A353</f>
        <v>F01.7</v>
      </c>
      <c r="B359" s="50" t="s">
        <v>234</v>
      </c>
      <c r="C359" s="37" t="str">
        <f>VLOOKUP(B359,'Composição dos serv'!A:I,3,FALSE)</f>
        <v>Portas</v>
      </c>
      <c r="D359" s="26" t="str">
        <f>VLOOKUP(B359,'Composição dos serv'!A:I,4,FALSE)</f>
        <v>un</v>
      </c>
      <c r="E359" s="37">
        <v>4</v>
      </c>
      <c r="F359" s="37">
        <f>ROUNDUP(E359*2.1*0.9*0.2,2)</f>
        <v>1.52</v>
      </c>
      <c r="G359" s="51">
        <f>SUMIF('Composição dos serv'!A:A,B359,'Composição dos serv'!I:I)</f>
        <v>0</v>
      </c>
      <c r="H359" s="38">
        <f t="shared" si="95"/>
        <v>0</v>
      </c>
      <c r="I359" s="24"/>
      <c r="J359" s="24"/>
      <c r="K359" s="39">
        <f>SUMIF('Composição dos serv'!A:A,B359,'Composição dos serv'!K:K)</f>
        <v>0</v>
      </c>
      <c r="L359" s="40">
        <f t="shared" si="88"/>
        <v>0</v>
      </c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ht="14.25" hidden="1" customHeight="1">
      <c r="A360" s="26" t="str">
        <f>A353</f>
        <v>F01.7</v>
      </c>
      <c r="B360" s="50" t="s">
        <v>236</v>
      </c>
      <c r="C360" s="37" t="str">
        <f>VLOOKUP(B360,'Composição dos serv'!A:I,3,FALSE)</f>
        <v>Guarda corpo de metal</v>
      </c>
      <c r="D360" s="26" t="str">
        <f>VLOOKUP(B360,'Composição dos serv'!A:I,4,FALSE)</f>
        <v>m</v>
      </c>
      <c r="E360" s="37"/>
      <c r="F360" s="37">
        <f>ROUNDUP(E360*1.7*0.05,2)</f>
        <v>0</v>
      </c>
      <c r="G360" s="51">
        <f>SUMIF('Composição dos serv'!A:A,B360,'Composição dos serv'!I:I)</f>
        <v>0</v>
      </c>
      <c r="H360" s="38">
        <f t="shared" si="95"/>
        <v>0</v>
      </c>
      <c r="I360" s="24"/>
      <c r="J360" s="24"/>
      <c r="K360" s="39">
        <f>SUMIF('Composição dos serv'!A:A,B360,'Composição dos serv'!K:K)</f>
        <v>0</v>
      </c>
      <c r="L360" s="40">
        <f t="shared" si="88"/>
        <v>0</v>
      </c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ht="14.25" customHeight="1">
      <c r="A361" s="33" t="str">
        <f>CONCATENATE(A327,".8")</f>
        <v>F01.8</v>
      </c>
      <c r="B361" s="33" t="s">
        <v>240</v>
      </c>
      <c r="C361" s="48" t="str">
        <f>VLOOKUP(B361,'Composição dos serv'!A:I,3,FALSE)</f>
        <v>ENTULHO</v>
      </c>
      <c r="D361" s="48"/>
      <c r="E361" s="48"/>
      <c r="F361" s="48"/>
      <c r="G361" s="48"/>
      <c r="H361" s="48"/>
      <c r="I361" s="24"/>
      <c r="J361" s="24"/>
      <c r="K361" s="39">
        <f>SUMIF('Composição dos serv'!A:A,B361,'Composição dos serv'!K:K)</f>
        <v>0</v>
      </c>
      <c r="L361" s="40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ht="14.25" hidden="1" customHeight="1">
      <c r="A362" s="26" t="str">
        <f>A361</f>
        <v>F01.8</v>
      </c>
      <c r="B362" s="50" t="s">
        <v>242</v>
      </c>
      <c r="C362" s="49" t="str">
        <f>VLOOKUP(B362,'Composição dos serv'!A:I,3,FALSE)</f>
        <v>Transporte e espalhamento Manual do entulho a ser reutilizado</v>
      </c>
      <c r="D362" s="50" t="s">
        <v>291</v>
      </c>
      <c r="E362" s="49"/>
      <c r="F362" s="52">
        <f>IF(E362=1,ROUNDUP((IF(E330&lt;&gt;"",F330,0)+IF(E331&lt;&gt;"",F331,0)+IF(E333&lt;&gt;"",F333,0)+IF(E334&lt;&gt;"",F334*0.34,0)+IF(E337&lt;&gt;"",F337*0.43,0)+IF(E340&lt;&gt;"",F340*0.8,0)+IF(E343&lt;&gt;"",F343*(0.78),0)+IF(E347&lt;&gt;"",F347*0.98,0)+IF(E349&lt;&gt;"",F349*0.91,0)+IF(E350&lt;&gt;"",F350*0.26,0)+IF(E351&lt;&gt;"",F351*0.24,0)+IF(E352&lt;&gt;"",F352,0)),2),0)</f>
        <v>0</v>
      </c>
      <c r="G362" s="51">
        <f>SUMIF('Composição dos serv'!A:A,B362,'Composição dos serv'!I:I)</f>
        <v>0</v>
      </c>
      <c r="H362" s="51">
        <f t="shared" ref="H362:H363" si="96">F362*G362</f>
        <v>0</v>
      </c>
      <c r="I362" s="24"/>
      <c r="J362" s="24"/>
      <c r="K362" s="39">
        <f>SUMIF('Composição dos serv'!A:A,B362,'Composição dos serv'!K:K)</f>
        <v>0.15000000000000002</v>
      </c>
      <c r="L362" s="40">
        <f t="shared" ref="L362:L365" si="97">ROUNDUP(K362*F362,0)</f>
        <v>0</v>
      </c>
      <c r="M362" s="45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:23" ht="14.25" hidden="1" customHeight="1">
      <c r="A363" s="26" t="str">
        <f>A361</f>
        <v>F01.8</v>
      </c>
      <c r="B363" s="50" t="s">
        <v>246</v>
      </c>
      <c r="C363" s="49" t="str">
        <f>VLOOKUP(B363,'Composição dos serv'!A:I,3,FALSE)</f>
        <v>Remoção e Transporte Mecanizado do entulho a ser reutilizado</v>
      </c>
      <c r="D363" s="50" t="s">
        <v>291</v>
      </c>
      <c r="E363" s="49"/>
      <c r="F363" s="52">
        <f>IF(E363=1,SUM(F330:F360)-H367,0)</f>
        <v>0</v>
      </c>
      <c r="G363" s="51">
        <f>SUMIF('Composição dos serv'!A:A,B363,'Composição dos serv'!I:I)</f>
        <v>0</v>
      </c>
      <c r="H363" s="51">
        <f t="shared" si="96"/>
        <v>0</v>
      </c>
      <c r="I363" s="24"/>
      <c r="J363" s="24"/>
      <c r="K363" s="39">
        <f>SUMIF('Composição dos serv'!A:A,B363,'Composição dos serv'!K:K)</f>
        <v>0.02</v>
      </c>
      <c r="L363" s="40">
        <f t="shared" si="97"/>
        <v>0</v>
      </c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ht="14.25" customHeight="1">
      <c r="A364" s="26" t="str">
        <f>A361</f>
        <v>F01.8</v>
      </c>
      <c r="B364" s="50" t="s">
        <v>252</v>
      </c>
      <c r="C364" s="49" t="str">
        <f>VLOOKUP(B364,'Composição dos serv'!A:I,3,FALSE)</f>
        <v>Remoção do entulho com caçamba</v>
      </c>
      <c r="D364" s="50" t="s">
        <v>291</v>
      </c>
      <c r="E364" s="49">
        <v>1</v>
      </c>
      <c r="F364" s="52">
        <f>IF(E364=1,SUM(F330:F360),0)</f>
        <v>100.56</v>
      </c>
      <c r="G364" s="51">
        <f>SUMIF('Composição dos serv'!A:A,B364,'Composição dos serv'!I:I)</f>
        <v>0</v>
      </c>
      <c r="H364" s="51">
        <f>IF(E364&gt;1,"OPÇÃO ERRADA",F364*G364)+IF(G367=1,H367*G364,0)</f>
        <v>0</v>
      </c>
      <c r="I364" s="24"/>
      <c r="J364" s="24"/>
      <c r="K364" s="39">
        <f>SUMIF('Composição dos serv'!A:A,B364,'Composição dos serv'!K:K)</f>
        <v>0.02</v>
      </c>
      <c r="L364" s="40">
        <f t="shared" si="97"/>
        <v>3</v>
      </c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14.25" hidden="1" customHeight="1">
      <c r="A365" s="26" t="str">
        <f>A361</f>
        <v>F01.8</v>
      </c>
      <c r="B365" s="50" t="s">
        <v>256</v>
      </c>
      <c r="C365" s="49" t="str">
        <f>VLOOKUP(B365,'Composição dos serv'!A:I,3,FALSE)</f>
        <v>Remoção e Transporte Mecanizado do entulho para bota fora</v>
      </c>
      <c r="D365" s="50" t="s">
        <v>291</v>
      </c>
      <c r="E365" s="49"/>
      <c r="F365" s="52">
        <f>IF(E365=1,SUM(F330:F360),0)</f>
        <v>0</v>
      </c>
      <c r="G365" s="51">
        <f>SUMIF('Composição dos serv'!A:A,B365,'Composição dos serv'!I:I)</f>
        <v>0</v>
      </c>
      <c r="H365" s="51">
        <f>IF(E365&gt;1,"OPÇÃO ERRADA",F365*G365)+IF(G367=2,H367*G365,0)</f>
        <v>0</v>
      </c>
      <c r="I365" s="24"/>
      <c r="J365" s="24"/>
      <c r="K365" s="39">
        <f>SUMIF('Composição dos serv'!A:A,B365,'Composição dos serv'!K:K)</f>
        <v>7.9999999999999988E-2</v>
      </c>
      <c r="L365" s="40">
        <f t="shared" si="97"/>
        <v>0</v>
      </c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 ht="14.25" customHeight="1">
      <c r="A366" s="26" t="str">
        <f>A361</f>
        <v>F01.8</v>
      </c>
      <c r="B366" s="50" t="s">
        <v>264</v>
      </c>
      <c r="C366" s="49" t="str">
        <f>VLOOKUP(B366,'Composição dos serv'!A:I,3,FALSE)</f>
        <v>Remoção de telhas em cimento amianto</v>
      </c>
      <c r="D366" s="26" t="str">
        <f>VLOOKUP(B366,'Composição dos serv'!A:I,4,FALSE)</f>
        <v>m²</v>
      </c>
      <c r="E366" s="49">
        <f>SUM(E338:E339)</f>
        <v>20</v>
      </c>
      <c r="F366" s="52"/>
      <c r="G366" s="51">
        <f>SUMIF('Composição dos serv'!A:A,B366,'Composição dos serv'!I:I)</f>
        <v>0</v>
      </c>
      <c r="H366" s="51">
        <f>G366*E366</f>
        <v>0</v>
      </c>
      <c r="I366" s="24"/>
      <c r="J366" s="24"/>
      <c r="K366" s="39"/>
      <c r="L366" s="40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:23" ht="14.25" customHeight="1">
      <c r="A367" s="53"/>
      <c r="B367" s="53"/>
      <c r="C367" s="37" t="str">
        <f>IF(E364&lt;&gt;1,IF(E365&lt;&gt;1,IF(H367&lt;&gt;0,"Há Material não reutilizavel qual a destinação para ele?",""),""),"")</f>
        <v/>
      </c>
      <c r="D367" s="168" t="str">
        <f>IF(E364&lt;&gt;1,IF(E365&lt;&gt;1,IF(H367&lt;&gt;0,"Caçamba = 1; Aterro = 2",""),""),"")</f>
        <v/>
      </c>
      <c r="E367" s="169"/>
      <c r="F367" s="170"/>
      <c r="G367" s="37">
        <v>1</v>
      </c>
      <c r="H367" s="54">
        <f>IF(E364=1,0,IF(E365=1,0,ROUNDUP((IF(E334&lt;&gt;"",F334*0.66,0)+IF(E337&lt;&gt;"",F337*0.57,0)+IF(E339&lt;&gt;"",F339,0)+IF(E340&lt;&gt;"",F340*0.2,0)+IF(E341&lt;&gt;"",F341,0)+IF(E343&lt;&gt;"",F343*0.22,0)+IF(E344&lt;&gt;"",F344,0)+IF(E345&lt;&gt;"",F345,0)+IF(E347&lt;&gt;"",F347*0.02,0)+IF(E349&lt;&gt;"",F349*0.09,0)+IF(E350&lt;&gt;"",F350*0.74,0)+IF(E351&lt;&gt;"",F351*(1-0.24),0)+IF(E354&lt;&gt;"",F354,0)+IF(E355&lt;&gt;"",F355,0)+IF(E356&lt;&gt;"",F356,0)+IF(E357&lt;&gt;"",F357,0)+IF(E358&lt;&gt;"",F358,0)+IF(E359&lt;&gt;"",F359,0)+IF(E360&lt;&gt;"",F360,0)+IF(E338&lt;&gt;"",F338,0)+IF(E336&lt;&gt;"",F336,0)),2)))</f>
        <v>0</v>
      </c>
      <c r="I367" s="24"/>
      <c r="J367" s="24"/>
      <c r="K367" s="39"/>
      <c r="L367" s="40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ht="6" customHeight="1">
      <c r="I368" s="24"/>
      <c r="J368" s="24"/>
      <c r="K368" s="39">
        <f>SUMIF('Composição dos serv'!A:A,'PESM Itutinga Piloes pt2'!B368,'Composição dos serv'!K:K)</f>
        <v>0</v>
      </c>
      <c r="L368" s="40">
        <f>ROUNDUP(K368*E368,0)</f>
        <v>0</v>
      </c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ht="14.25" customHeight="1">
      <c r="A369" s="84" t="str">
        <f>A327</f>
        <v>F01</v>
      </c>
      <c r="B369" s="185" t="str">
        <f>C327</f>
        <v>EDIFICAÇÃO 23 - Gleba F01</v>
      </c>
      <c r="C369" s="169"/>
      <c r="D369" s="186" t="s">
        <v>280</v>
      </c>
      <c r="E369" s="169"/>
      <c r="F369" s="169"/>
      <c r="G369" s="86">
        <f>SUM(H330:H366)</f>
        <v>0</v>
      </c>
      <c r="H369" s="87"/>
      <c r="I369" s="24"/>
      <c r="J369" s="24"/>
      <c r="K369" s="39">
        <f>IF(SUM(L362:L365)&gt;SUM(L330:L360),SUM(L362:L365),SUM(L330:L360))</f>
        <v>42</v>
      </c>
      <c r="L369" s="40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9.75" customHeight="1">
      <c r="A370" s="66"/>
      <c r="B370" s="53"/>
      <c r="D370" s="53"/>
      <c r="G370" s="67"/>
      <c r="H370" s="67"/>
      <c r="I370" s="24"/>
      <c r="J370" s="24"/>
      <c r="K370" s="39">
        <f>SUMIF('Composição dos serv'!A:A,'PESM Itutinga Piloes pt2'!B370,'Composição dos serv'!K:K)</f>
        <v>0</v>
      </c>
      <c r="L370" s="40">
        <f t="shared" ref="L370:L372" si="98">ROUNDUP(K370*E370,0)</f>
        <v>0</v>
      </c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ht="19.5" customHeight="1">
      <c r="A371" s="88" t="s">
        <v>345</v>
      </c>
      <c r="B371" s="88">
        <v>2</v>
      </c>
      <c r="C371" s="89" t="s">
        <v>346</v>
      </c>
      <c r="D371" s="89"/>
      <c r="E371" s="89"/>
      <c r="F371" s="89"/>
      <c r="G371" s="89"/>
      <c r="H371" s="89"/>
      <c r="I371" s="24"/>
      <c r="J371" s="24"/>
      <c r="K371" s="39">
        <f>SUMIF('Composição dos serv'!A:A,'PESM Itutinga Piloes pt2'!B371,'Composição dos serv'!K:K)</f>
        <v>0</v>
      </c>
      <c r="L371" s="40">
        <f t="shared" si="98"/>
        <v>0</v>
      </c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6" customHeight="1">
      <c r="A372" s="26"/>
      <c r="B372" s="66"/>
      <c r="C372" s="66"/>
      <c r="D372" s="66"/>
      <c r="E372" s="66"/>
      <c r="F372" s="66"/>
      <c r="G372" s="66"/>
      <c r="H372" s="66"/>
      <c r="I372" s="24"/>
      <c r="J372" s="24"/>
      <c r="K372" s="39">
        <f>SUMIF('Composição dos serv'!A:A,'PESM Itutinga Piloes pt2'!B372,'Composição dos serv'!K:K)</f>
        <v>0</v>
      </c>
      <c r="L372" s="40">
        <f t="shared" si="98"/>
        <v>0</v>
      </c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:23" ht="14.25" customHeight="1">
      <c r="A373" s="33" t="str">
        <f>CONCATENATE(A371,".1")</f>
        <v>F03.1</v>
      </c>
      <c r="B373" s="33" t="s">
        <v>67</v>
      </c>
      <c r="C373" s="48" t="str">
        <f>VLOOKUP(B373,'Composição dos serv'!A:I,3,FALSE)</f>
        <v>DEMOLIÇÃO DE CALÇADAS E/OU CAMINHOS</v>
      </c>
      <c r="D373" s="48"/>
      <c r="E373" s="48"/>
      <c r="F373" s="48"/>
      <c r="G373" s="48"/>
      <c r="H373" s="48"/>
      <c r="I373" s="24"/>
      <c r="J373" s="24"/>
      <c r="K373" s="31"/>
      <c r="L373" s="32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:23" ht="14.25" hidden="1" customHeight="1">
      <c r="A374" s="26" t="str">
        <f>A373</f>
        <v>F03.1</v>
      </c>
      <c r="B374" s="26" t="s">
        <v>69</v>
      </c>
      <c r="C374" s="49" t="str">
        <f>VLOOKUP(B374,'Composição dos serv'!A:I,3,FALSE)</f>
        <v>Demolição de calçada ou caminhos</v>
      </c>
      <c r="D374" s="50" t="str">
        <f>VLOOKUP(B374,'Composição dos serv'!A:I,4,FALSE)</f>
        <v>m²</v>
      </c>
      <c r="E374" s="49"/>
      <c r="F374" s="49">
        <f>ROUNDUP(E374*0.15,2)</f>
        <v>0</v>
      </c>
      <c r="G374" s="51">
        <f>SUMIF('Composição dos serv'!A:A,'PESM Itutinga Piloes pt2'!B374,'Composição dos serv'!I:I)</f>
        <v>0</v>
      </c>
      <c r="H374" s="51">
        <f t="shared" ref="H374:H375" si="99">E374*G374</f>
        <v>0</v>
      </c>
      <c r="I374" s="24"/>
      <c r="J374" s="24"/>
      <c r="K374" s="39">
        <f>SUMIF('Composição dos serv'!A:A,B374,'Composição dos serv'!K:K)</f>
        <v>0.12</v>
      </c>
      <c r="L374" s="40">
        <f t="shared" ref="L374:L404" si="100">ROUNDUP(K374*E374,0)</f>
        <v>0</v>
      </c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ht="14.25" hidden="1" customHeight="1">
      <c r="A375" s="26" t="str">
        <f>A373</f>
        <v>F03.1</v>
      </c>
      <c r="B375" s="26" t="s">
        <v>75</v>
      </c>
      <c r="C375" s="37" t="str">
        <f>VLOOKUP(B375,'Composição dos serv'!A:I,3,FALSE)</f>
        <v>Demolição de via Asfaltada, em paralelepípedo ou intertravados</v>
      </c>
      <c r="D375" s="26" t="str">
        <f>VLOOKUP(B375,'Composição dos serv'!A:I,4,FALSE)</f>
        <v>m²</v>
      </c>
      <c r="E375" s="37"/>
      <c r="F375" s="37">
        <f>ROUNDUP(E375*0.2,2)</f>
        <v>0</v>
      </c>
      <c r="G375" s="38">
        <f>SUMIF('Composição dos serv'!A:A,'PESM Itutinga Piloes pt2'!B375,'Composição dos serv'!I:I)</f>
        <v>0</v>
      </c>
      <c r="H375" s="38">
        <f t="shared" si="99"/>
        <v>0</v>
      </c>
      <c r="I375" s="24"/>
      <c r="J375" s="24"/>
      <c r="K375" s="39">
        <f>SUMIF('Composição dos serv'!A:A,B375,'Composição dos serv'!K:K)</f>
        <v>0.06</v>
      </c>
      <c r="L375" s="40">
        <f t="shared" si="100"/>
        <v>0</v>
      </c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ht="14.25" customHeight="1">
      <c r="A376" s="33" t="str">
        <f>CONCATENATE(A371,".2")</f>
        <v>F03.2</v>
      </c>
      <c r="B376" s="33" t="s">
        <v>85</v>
      </c>
      <c r="C376" s="34" t="str">
        <f>VLOOKUP(B376,'Composição dos serv'!A:I,3,FALSE)</f>
        <v>DEMOLIÇÃO DE MUROS E CERCAS</v>
      </c>
      <c r="D376" s="35"/>
      <c r="E376" s="35"/>
      <c r="F376" s="35"/>
      <c r="G376" s="35"/>
      <c r="H376" s="36"/>
      <c r="I376" s="24"/>
      <c r="J376" s="24"/>
      <c r="K376" s="39">
        <f>SUMIF('Composição dos serv'!A:A,B376,'Composição dos serv'!K:K)</f>
        <v>0</v>
      </c>
      <c r="L376" s="40">
        <f t="shared" si="100"/>
        <v>0</v>
      </c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:23" ht="14.25" hidden="1" customHeight="1">
      <c r="A377" s="26" t="str">
        <f>A376</f>
        <v>F03.2</v>
      </c>
      <c r="B377" s="26" t="s">
        <v>87</v>
      </c>
      <c r="C377" s="37" t="str">
        <f>VLOOKUP(B377,'Composição dos serv'!A:I,3,FALSE)</f>
        <v>Demolição de muro em alvenaria ou alambrados</v>
      </c>
      <c r="D377" s="26" t="str">
        <f>VLOOKUP(B377,'Composição dos serv'!A:I,4,FALSE)</f>
        <v>m</v>
      </c>
      <c r="E377" s="37"/>
      <c r="F377" s="37">
        <f>ROUNDUP(E377*0.2*2.4,2)</f>
        <v>0</v>
      </c>
      <c r="G377" s="38">
        <f>SUMIF('Composição dos serv'!A:A,'PESM Itutinga Piloes pt2'!B377,'Composição dos serv'!I:I)</f>
        <v>0</v>
      </c>
      <c r="H377" s="38">
        <f t="shared" ref="H377:H378" si="101">E377*G377</f>
        <v>0</v>
      </c>
      <c r="I377" s="24"/>
      <c r="J377" s="24"/>
      <c r="K377" s="39">
        <f>SUMIF('Composição dos serv'!A:A,B377,'Composição dos serv'!K:K)</f>
        <v>0.26</v>
      </c>
      <c r="L377" s="40">
        <f t="shared" si="100"/>
        <v>0</v>
      </c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:23" ht="14.25" hidden="1" customHeight="1">
      <c r="A378" s="26" t="str">
        <f>A376</f>
        <v>F03.2</v>
      </c>
      <c r="B378" s="26" t="s">
        <v>93</v>
      </c>
      <c r="C378" s="37" t="str">
        <f>VLOOKUP(B378,'Composição dos serv'!A:I,3,FALSE)</f>
        <v>Demolição de Cercas</v>
      </c>
      <c r="D378" s="26" t="str">
        <f>VLOOKUP(B378,'Composição dos serv'!A:I,4,FALSE)</f>
        <v>m</v>
      </c>
      <c r="E378" s="37"/>
      <c r="F378" s="37">
        <f>ROUNDUP(E378*0.1*1.8,2)</f>
        <v>0</v>
      </c>
      <c r="G378" s="38">
        <f>SUMIF('Composição dos serv'!A:A,'PESM Itutinga Piloes pt2'!B378,'Composição dos serv'!I:I)</f>
        <v>0</v>
      </c>
      <c r="H378" s="38">
        <f t="shared" si="101"/>
        <v>0</v>
      </c>
      <c r="I378" s="24"/>
      <c r="J378" s="24"/>
      <c r="K378" s="39">
        <f>SUMIF('Composição dos serv'!A:A,B378,'Composição dos serv'!K:K)</f>
        <v>0.06</v>
      </c>
      <c r="L378" s="40">
        <f t="shared" si="100"/>
        <v>0</v>
      </c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:23" ht="14.25" customHeight="1">
      <c r="A379" s="33" t="str">
        <f>CONCATENATE(A371,".3")</f>
        <v>F03.3</v>
      </c>
      <c r="B379" s="33" t="s">
        <v>99</v>
      </c>
      <c r="C379" s="48" t="str">
        <f>VLOOKUP(B379,'Composição dos serv'!A:I,3,FALSE)</f>
        <v>COBERTURA</v>
      </c>
      <c r="D379" s="48"/>
      <c r="E379" s="48"/>
      <c r="F379" s="48"/>
      <c r="G379" s="48"/>
      <c r="H379" s="48"/>
      <c r="I379" s="24"/>
      <c r="J379" s="24"/>
      <c r="K379" s="39">
        <f>SUMIF('Composição dos serv'!A:A,B379,'Composição dos serv'!K:K)</f>
        <v>0</v>
      </c>
      <c r="L379" s="40">
        <f t="shared" si="100"/>
        <v>0</v>
      </c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:23" ht="14.25" customHeight="1">
      <c r="A380" s="26" t="str">
        <f t="shared" ref="A380:A385" si="102">A379</f>
        <v>F03.3</v>
      </c>
      <c r="B380" s="26" t="s">
        <v>101</v>
      </c>
      <c r="C380" s="37" t="str">
        <f>VLOOKUP(B380,'Composição dos serv'!A:I,3,FALSE)</f>
        <v>Retirada de Estrutura de madeira sem telhas</v>
      </c>
      <c r="D380" s="26" t="str">
        <f>VLOOKUP(B380,'Composição dos serv'!A:I,4,FALSE)</f>
        <v>m²</v>
      </c>
      <c r="E380" s="37">
        <v>35</v>
      </c>
      <c r="F380" s="37">
        <f>ROUNDUP(E380*0.2,2)</f>
        <v>7</v>
      </c>
      <c r="G380" s="38">
        <f>SUMIF('Composição dos serv'!A:A,'PESM Itutinga Piloes pt2'!B380,'Composição dos serv'!I:I)</f>
        <v>0</v>
      </c>
      <c r="H380" s="38">
        <f t="shared" ref="H380:H385" si="103">E380*G380</f>
        <v>0</v>
      </c>
      <c r="I380" s="24"/>
      <c r="J380" s="24"/>
      <c r="K380" s="39">
        <f>SUMIF('Composição dos serv'!A:A,B380,'Composição dos serv'!K:K)</f>
        <v>0.03</v>
      </c>
      <c r="L380" s="40">
        <f t="shared" si="100"/>
        <v>2</v>
      </c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ht="14.25" hidden="1" customHeight="1">
      <c r="A381" s="26" t="str">
        <f t="shared" si="102"/>
        <v>F03.3</v>
      </c>
      <c r="B381" s="26" t="s">
        <v>105</v>
      </c>
      <c r="C381" s="37" t="str">
        <f>VLOOKUP(B381,'Composição dos serv'!A:I,3,FALSE)</f>
        <v>Retirada de Telhas de Barro com Estrutura em madeira (tesouras, treliças,...)</v>
      </c>
      <c r="D381" s="26" t="str">
        <f>VLOOKUP(B381,'Composição dos serv'!A:I,4,FALSE)</f>
        <v>m²</v>
      </c>
      <c r="E381" s="37"/>
      <c r="F381" s="37">
        <f>ROUNDUP(E381*0.08+E381*0.2,2)</f>
        <v>0</v>
      </c>
      <c r="G381" s="38">
        <f>SUMIF('Composição dos serv'!A:A,'PESM Itutinga Piloes pt2'!B381,'Composição dos serv'!I:I)</f>
        <v>0</v>
      </c>
      <c r="H381" s="38">
        <f t="shared" si="103"/>
        <v>0</v>
      </c>
      <c r="I381" s="24"/>
      <c r="J381" s="24"/>
      <c r="K381" s="39">
        <f>SUMIF('Composição dos serv'!A:A,B381,'Composição dos serv'!K:K)</f>
        <v>0.06</v>
      </c>
      <c r="L381" s="40">
        <f t="shared" si="100"/>
        <v>0</v>
      </c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ht="14.25" hidden="1" customHeight="1">
      <c r="A382" s="26" t="str">
        <f t="shared" si="102"/>
        <v>F03.3</v>
      </c>
      <c r="B382" s="26" t="s">
        <v>111</v>
      </c>
      <c r="C382" s="37" t="str">
        <f>VLOOKUP(B382,'Composição dos serv'!A:I,3,FALSE)</f>
        <v>Retirada de Telhas de amianto Sem Estrutura</v>
      </c>
      <c r="D382" s="26" t="str">
        <f>VLOOKUP(B382,'Composição dos serv'!A:I,4,FALSE)</f>
        <v>m²</v>
      </c>
      <c r="E382" s="37"/>
      <c r="F382" s="37"/>
      <c r="G382" s="38">
        <f>SUMIF('Composição dos serv'!A:A,'PESM Itutinga Piloes pt2'!B382,'Composição dos serv'!I:I)</f>
        <v>0</v>
      </c>
      <c r="H382" s="38">
        <f t="shared" si="103"/>
        <v>0</v>
      </c>
      <c r="I382" s="24"/>
      <c r="J382" s="24"/>
      <c r="K382" s="39">
        <f>SUMIF('Composição dos serv'!A:A,B382,'Composição dos serv'!K:K)</f>
        <v>0.02</v>
      </c>
      <c r="L382" s="40">
        <f t="shared" si="100"/>
        <v>0</v>
      </c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:23" ht="14.25" customHeight="1">
      <c r="A383" s="26" t="str">
        <f t="shared" si="102"/>
        <v>F03.3</v>
      </c>
      <c r="B383" s="26" t="s">
        <v>117</v>
      </c>
      <c r="C383" s="37" t="str">
        <f>VLOOKUP(B383,'Composição dos serv'!A:I,3,FALSE)</f>
        <v>Retirada de Telhas de amianto com Estrutura em madeira (tesouras, treliças,...)</v>
      </c>
      <c r="D383" s="26" t="str">
        <f>VLOOKUP(B383,'Composição dos serv'!A:I,4,FALSE)</f>
        <v>m²</v>
      </c>
      <c r="E383" s="37">
        <v>150</v>
      </c>
      <c r="F383" s="37">
        <f>ROUNDUP(E383*0.1,2)</f>
        <v>15</v>
      </c>
      <c r="G383" s="38">
        <f>SUMIF('Composição dos serv'!A:A,'PESM Itutinga Piloes pt2'!B383,'Composição dos serv'!I:I)</f>
        <v>0</v>
      </c>
      <c r="H383" s="38">
        <f t="shared" si="103"/>
        <v>0</v>
      </c>
      <c r="I383" s="24"/>
      <c r="J383" s="24"/>
      <c r="K383" s="39">
        <f>SUMIF('Composição dos serv'!A:A,B383,'Composição dos serv'!K:K)</f>
        <v>0.04</v>
      </c>
      <c r="L383" s="40">
        <f t="shared" si="100"/>
        <v>6</v>
      </c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ht="14.25" customHeight="1">
      <c r="A384" s="26" t="str">
        <f t="shared" si="102"/>
        <v>F03.3</v>
      </c>
      <c r="B384" s="26" t="s">
        <v>121</v>
      </c>
      <c r="C384" s="37" t="str">
        <f>VLOOKUP(B384,'Composição dos serv'!A:I,3,FALSE)</f>
        <v>Retirada de Laje em concreto</v>
      </c>
      <c r="D384" s="26" t="str">
        <f>VLOOKUP(B384,'Composição dos serv'!A:I,4,FALSE)</f>
        <v>m²</v>
      </c>
      <c r="E384" s="37">
        <v>25</v>
      </c>
      <c r="F384" s="37">
        <f>ROUNDUP(E384*0.12,2)</f>
        <v>3</v>
      </c>
      <c r="G384" s="38">
        <f>SUMIF('Composição dos serv'!A:A,'PESM Itutinga Piloes pt2'!B384,'Composição dos serv'!I:I)</f>
        <v>0</v>
      </c>
      <c r="H384" s="38">
        <f t="shared" si="103"/>
        <v>0</v>
      </c>
      <c r="I384" s="24"/>
      <c r="J384" s="24"/>
      <c r="K384" s="39">
        <f>SUMIF('Composição dos serv'!A:A,B384,'Composição dos serv'!K:K)</f>
        <v>0.09</v>
      </c>
      <c r="L384" s="40">
        <f t="shared" si="100"/>
        <v>3</v>
      </c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:23" ht="14.25" customHeight="1">
      <c r="A385" s="26" t="str">
        <f t="shared" si="102"/>
        <v>F03.3</v>
      </c>
      <c r="B385" s="26" t="s">
        <v>129</v>
      </c>
      <c r="C385" s="37" t="str">
        <f>VLOOKUP(B385,'Composição dos serv'!A:I,3,FALSE)</f>
        <v>Retirada de Forros qualquer com sistema de fixação</v>
      </c>
      <c r="D385" s="26" t="str">
        <f>VLOOKUP(B385,'Composição dos serv'!A:I,4,FALSE)</f>
        <v>m²</v>
      </c>
      <c r="E385" s="37">
        <v>90</v>
      </c>
      <c r="F385" s="37">
        <f>ROUNDUP(E385*0.1,2)</f>
        <v>9</v>
      </c>
      <c r="G385" s="38">
        <f>SUMIF('Composição dos serv'!A:A,'PESM Itutinga Piloes pt2'!B385,'Composição dos serv'!I:I)</f>
        <v>0</v>
      </c>
      <c r="H385" s="38">
        <f t="shared" si="103"/>
        <v>0</v>
      </c>
      <c r="I385" s="24"/>
      <c r="J385" s="24"/>
      <c r="K385" s="39">
        <f>SUMIF('Composição dos serv'!A:A,B385,'Composição dos serv'!K:K)</f>
        <v>0.04</v>
      </c>
      <c r="L385" s="40">
        <f t="shared" si="100"/>
        <v>4</v>
      </c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ht="14.25" customHeight="1">
      <c r="A386" s="33" t="str">
        <f>CONCATENATE(A371,".4")</f>
        <v>F03.4</v>
      </c>
      <c r="B386" s="33" t="s">
        <v>133</v>
      </c>
      <c r="C386" s="34" t="str">
        <f>VLOOKUP(B386,'Composição dos serv'!A:I,3,FALSE)</f>
        <v>PAREDES</v>
      </c>
      <c r="D386" s="35"/>
      <c r="E386" s="35"/>
      <c r="F386" s="35"/>
      <c r="G386" s="35"/>
      <c r="H386" s="36"/>
      <c r="I386" s="24"/>
      <c r="J386" s="24"/>
      <c r="K386" s="39">
        <f>SUMIF('Composição dos serv'!A:A,B386,'Composição dos serv'!K:K)</f>
        <v>0</v>
      </c>
      <c r="L386" s="40">
        <f t="shared" si="100"/>
        <v>0</v>
      </c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:23" ht="14.25" customHeight="1">
      <c r="A387" s="26" t="str">
        <f>A386</f>
        <v>F03.4</v>
      </c>
      <c r="B387" s="26" t="s">
        <v>135</v>
      </c>
      <c r="C387" s="37" t="str">
        <f>VLOOKUP(B387,'Composição dos serv'!A:I,3,FALSE)</f>
        <v>Parede em Alvenaria - usar área construida</v>
      </c>
      <c r="D387" s="26" t="str">
        <f>VLOOKUP(B387,'Composição dos serv'!A:I,4,FALSE)</f>
        <v>m²</v>
      </c>
      <c r="E387" s="49">
        <v>100</v>
      </c>
      <c r="F387" s="37">
        <f>ROUNDUP(E387*0.8,2)</f>
        <v>80</v>
      </c>
      <c r="G387" s="38">
        <f>SUMIF('Composição dos serv'!A:A,B387,'Composição dos serv'!I:I)</f>
        <v>0</v>
      </c>
      <c r="H387" s="38">
        <f t="shared" ref="H387:H389" si="104">E387*G387</f>
        <v>0</v>
      </c>
      <c r="I387" s="24"/>
      <c r="J387" s="24"/>
      <c r="K387" s="39">
        <f>SUMIF('Composição dos serv'!A:A,B387,'Composição dos serv'!K:K)</f>
        <v>0.15000000000000002</v>
      </c>
      <c r="L387" s="40">
        <f t="shared" si="100"/>
        <v>15</v>
      </c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:23" ht="14.25" customHeight="1">
      <c r="A388" s="26" t="str">
        <f>A386</f>
        <v>F03.4</v>
      </c>
      <c r="B388" s="26" t="s">
        <v>143</v>
      </c>
      <c r="C388" s="37" t="str">
        <f>VLOOKUP(B388,'Composição dos serv'!A:I,3,FALSE)</f>
        <v>Parede em Madeirite - Chapas de madeira compensada ou aglomerada - área construída</v>
      </c>
      <c r="D388" s="26" t="str">
        <f>VLOOKUP(B388,'Composição dos serv'!A:I,4,FALSE)</f>
        <v>m²</v>
      </c>
      <c r="E388" s="37">
        <v>50</v>
      </c>
      <c r="F388" s="37">
        <f>ROUNDUP(E388*0.21,2)</f>
        <v>10.5</v>
      </c>
      <c r="G388" s="38">
        <f>SUMIF('Composição dos serv'!A:A,B388,'Composição dos serv'!I:I)</f>
        <v>0</v>
      </c>
      <c r="H388" s="38">
        <f t="shared" si="104"/>
        <v>0</v>
      </c>
      <c r="I388" s="24"/>
      <c r="J388" s="24"/>
      <c r="K388" s="39">
        <f>SUMIF('Composição dos serv'!A:A,B388,'Composição dos serv'!K:K)</f>
        <v>0.15000000000000002</v>
      </c>
      <c r="L388" s="40">
        <f t="shared" si="100"/>
        <v>8</v>
      </c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ht="14.25" hidden="1" customHeight="1">
      <c r="A389" s="26" t="str">
        <f>A386</f>
        <v>F03.4</v>
      </c>
      <c r="B389" s="26" t="s">
        <v>145</v>
      </c>
      <c r="C389" s="37" t="str">
        <f>VLOOKUP(B389,'Composição dos serv'!A:I,3,FALSE)</f>
        <v>Parede em Lambril de madeira - área construída</v>
      </c>
      <c r="D389" s="26" t="str">
        <f>VLOOKUP(B389,'Composição dos serv'!A:I,4,FALSE)</f>
        <v>m²</v>
      </c>
      <c r="E389" s="37"/>
      <c r="F389" s="37">
        <f>ROUNDUP(E389*4*0.12,2)</f>
        <v>0</v>
      </c>
      <c r="G389" s="38">
        <f>SUMIF('Composição dos serv'!A:A,B389,'Composição dos serv'!I:I)</f>
        <v>0</v>
      </c>
      <c r="H389" s="38">
        <f t="shared" si="104"/>
        <v>0</v>
      </c>
      <c r="I389" s="24"/>
      <c r="J389" s="24"/>
      <c r="K389" s="39">
        <f>SUMIF('Composição dos serv'!A:A,B389,'Composição dos serv'!K:K)</f>
        <v>0.35000000000000009</v>
      </c>
      <c r="L389" s="40">
        <f t="shared" si="100"/>
        <v>0</v>
      </c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ht="14.25" customHeight="1">
      <c r="A390" s="33" t="str">
        <f>CONCATENATE(A371,".5")</f>
        <v>F03.5</v>
      </c>
      <c r="B390" s="33" t="s">
        <v>153</v>
      </c>
      <c r="C390" s="34" t="str">
        <f>VLOOKUP(B390,'Composição dos serv'!A:I,3,FALSE)</f>
        <v>PISO E FUNDAÇÃO</v>
      </c>
      <c r="D390" s="35"/>
      <c r="E390" s="35"/>
      <c r="F390" s="35"/>
      <c r="G390" s="35"/>
      <c r="H390" s="36"/>
      <c r="I390" s="24"/>
      <c r="J390" s="24"/>
      <c r="K390" s="39">
        <f>SUMIF('Composição dos serv'!A:A,B390,'Composição dos serv'!K:K)</f>
        <v>0</v>
      </c>
      <c r="L390" s="40">
        <f t="shared" si="100"/>
        <v>0</v>
      </c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ht="14.25" hidden="1" customHeight="1">
      <c r="A391" s="26" t="str">
        <f>A390</f>
        <v>F03.5</v>
      </c>
      <c r="B391" s="26" t="s">
        <v>155</v>
      </c>
      <c r="C391" s="37" t="str">
        <f>VLOOKUP(B391,'Composição dos serv'!A:I,3,FALSE)</f>
        <v>Piso da edificação com fundação</v>
      </c>
      <c r="D391" s="26" t="str">
        <f>VLOOKUP(B391,'Composição dos serv'!A:I,4,FALSE)</f>
        <v>m²</v>
      </c>
      <c r="E391" s="37"/>
      <c r="F391" s="37">
        <f>ROUNDUP(E391*0.24,2)</f>
        <v>0</v>
      </c>
      <c r="G391" s="38">
        <f>SUMIF('Composição dos serv'!A:A,B391,'Composição dos serv'!I:I)</f>
        <v>0</v>
      </c>
      <c r="H391" s="38">
        <f>E391*G391</f>
        <v>0</v>
      </c>
      <c r="I391" s="24"/>
      <c r="J391" s="24"/>
      <c r="K391" s="39">
        <f>SUMIF('Composição dos serv'!A:A,B391,'Composição dos serv'!K:K)</f>
        <v>0.17</v>
      </c>
      <c r="L391" s="40">
        <f t="shared" si="100"/>
        <v>0</v>
      </c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:23" ht="14.25" customHeight="1">
      <c r="A392" s="33" t="str">
        <f>CONCATENATE(A371,".6")</f>
        <v>F03.6</v>
      </c>
      <c r="B392" s="33" t="s">
        <v>161</v>
      </c>
      <c r="C392" s="48" t="str">
        <f>VLOOKUP(B392,'Composição dos serv'!A:I,3,FALSE)</f>
        <v>ESTRUTURAS DIVERSAS</v>
      </c>
      <c r="D392" s="48"/>
      <c r="E392" s="48"/>
      <c r="F392" s="48"/>
      <c r="G392" s="48"/>
      <c r="H392" s="48"/>
      <c r="I392" s="24"/>
      <c r="J392" s="24"/>
      <c r="K392" s="39">
        <f>SUMIF('Composição dos serv'!A:A,B392,'Composição dos serv'!K:K)</f>
        <v>0</v>
      </c>
      <c r="L392" s="40">
        <f t="shared" si="100"/>
        <v>0</v>
      </c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:23" ht="14.25" hidden="1" customHeight="1">
      <c r="A393" s="26" t="str">
        <f>A392</f>
        <v>F03.6</v>
      </c>
      <c r="B393" s="26" t="s">
        <v>163</v>
      </c>
      <c r="C393" s="37" t="str">
        <f>VLOOKUP(B393,'Composição dos serv'!A:I,3,FALSE)</f>
        <v>Escada em concreto com corrimão</v>
      </c>
      <c r="D393" s="26" t="str">
        <f>VLOOKUP(B393,'Composição dos serv'!A:I,4,FALSE)</f>
        <v>m</v>
      </c>
      <c r="E393" s="49"/>
      <c r="F393" s="37">
        <f>ROUNDUP(E393*1.2*0.25,2)</f>
        <v>0</v>
      </c>
      <c r="G393" s="38">
        <f>SUMIF('Composição dos serv'!A:A,'PESM Itutinga Piloes pt2'!B393,'Composição dos serv'!I:I)</f>
        <v>0</v>
      </c>
      <c r="H393" s="38">
        <f t="shared" ref="H393:H396" si="105">E393*G393</f>
        <v>0</v>
      </c>
      <c r="I393" s="24"/>
      <c r="J393" s="24"/>
      <c r="K393" s="39">
        <f>SUMIF('Composição dos serv'!A:A,B393,'Composição dos serv'!K:K)</f>
        <v>0.39</v>
      </c>
      <c r="L393" s="40">
        <f t="shared" si="100"/>
        <v>0</v>
      </c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:23" ht="14.25" customHeight="1">
      <c r="A394" s="26" t="str">
        <f>A392</f>
        <v>F03.6</v>
      </c>
      <c r="B394" s="26" t="s">
        <v>169</v>
      </c>
      <c r="C394" s="37" t="str">
        <f>VLOOKUP(B394,'Composição dos serv'!A:I,3,FALSE)</f>
        <v>Entrada de Energia - medidor</v>
      </c>
      <c r="D394" s="26" t="str">
        <f>VLOOKUP(B394,'Composição dos serv'!A:I,4,FALSE)</f>
        <v>un</v>
      </c>
      <c r="E394" s="37">
        <v>1</v>
      </c>
      <c r="F394" s="37">
        <f>ROUNDUP(E394*(3.2+(((3.1415*0.4^2)/4)*6)),2)</f>
        <v>3.96</v>
      </c>
      <c r="G394" s="38">
        <f>SUMIF('Composição dos serv'!A:A,'PESM Itutinga Piloes pt2'!B394,'Composição dos serv'!I:I)</f>
        <v>0</v>
      </c>
      <c r="H394" s="38">
        <f t="shared" si="105"/>
        <v>0</v>
      </c>
      <c r="I394" s="24"/>
      <c r="J394" s="24"/>
      <c r="K394" s="39">
        <f>SUMIF('Composição dos serv'!A:A,B394,'Composição dos serv'!K:K)</f>
        <v>1.7600000000000002</v>
      </c>
      <c r="L394" s="40">
        <f t="shared" si="100"/>
        <v>2</v>
      </c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:23" ht="14.25" customHeight="1">
      <c r="A395" s="26" t="str">
        <f>A392</f>
        <v>F03.6</v>
      </c>
      <c r="B395" s="26" t="s">
        <v>183</v>
      </c>
      <c r="C395" s="37" t="str">
        <f>VLOOKUP(B395,'Composição dos serv'!A:I,3,FALSE)</f>
        <v>Hidrômetro com abrigo</v>
      </c>
      <c r="D395" s="26" t="str">
        <f>VLOOKUP(B395,'Composição dos serv'!A:I,4,FALSE)</f>
        <v>un</v>
      </c>
      <c r="E395" s="37">
        <v>1</v>
      </c>
      <c r="F395" s="37">
        <f>ROUNDUP(E395*(1.7+0.1),2)</f>
        <v>1.8</v>
      </c>
      <c r="G395" s="38">
        <f>SUMIF('Composição dos serv'!A:A,'PESM Itutinga Piloes pt2'!B395,'Composição dos serv'!I:I)</f>
        <v>0</v>
      </c>
      <c r="H395" s="38">
        <f t="shared" si="105"/>
        <v>0</v>
      </c>
      <c r="I395" s="24"/>
      <c r="J395" s="24"/>
      <c r="K395" s="39">
        <f>SUMIF('Composição dos serv'!A:A,B395,'Composição dos serv'!K:K)</f>
        <v>0.44000000000000006</v>
      </c>
      <c r="L395" s="40">
        <f t="shared" si="100"/>
        <v>1</v>
      </c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:23" ht="14.25" customHeight="1">
      <c r="A396" s="26" t="str">
        <f>A394</f>
        <v>F03.6</v>
      </c>
      <c r="B396" s="26" t="s">
        <v>191</v>
      </c>
      <c r="C396" s="37" t="str">
        <f>VLOOKUP(B396,'Composição dos serv'!A:I,3,FALSE)</f>
        <v>Aterro de Fossa com retirada de tampa</v>
      </c>
      <c r="D396" s="26" t="str">
        <f>VLOOKUP(B396,'Composição dos serv'!A:I,4,FALSE)</f>
        <v>un</v>
      </c>
      <c r="E396" s="37">
        <v>1</v>
      </c>
      <c r="F396" s="37">
        <f>ROUNDUP(E396*(0.4),2)</f>
        <v>0.4</v>
      </c>
      <c r="G396" s="38">
        <f>SUMIF('Composição dos serv'!A:A,'PESM Itutinga Piloes pt2'!B396,'Composição dos serv'!I:I)</f>
        <v>0</v>
      </c>
      <c r="H396" s="38">
        <f t="shared" si="105"/>
        <v>0</v>
      </c>
      <c r="I396" s="24"/>
      <c r="J396" s="24"/>
      <c r="K396" s="39">
        <f>SUMIF('Composição dos serv'!A:A,B396,'Composição dos serv'!K:K)</f>
        <v>0.85000000000000009</v>
      </c>
      <c r="L396" s="40">
        <f t="shared" si="100"/>
        <v>1</v>
      </c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:23" ht="14.25" customHeight="1">
      <c r="A397" s="33" t="str">
        <f>CONCATENATE(A371,".7")</f>
        <v>F03.7</v>
      </c>
      <c r="B397" s="33" t="s">
        <v>195</v>
      </c>
      <c r="C397" s="48" t="str">
        <f>VLOOKUP(B397,'Composição dos serv'!A:I,3,FALSE)</f>
        <v>ACABAMENTOS DIVERSOS e OUTROS</v>
      </c>
      <c r="D397" s="48"/>
      <c r="E397" s="48"/>
      <c r="F397" s="48"/>
      <c r="G397" s="48"/>
      <c r="H397" s="48"/>
      <c r="I397" s="24"/>
      <c r="J397" s="24"/>
      <c r="K397" s="39">
        <f>SUMIF('Composição dos serv'!A:A,B397,'Composição dos serv'!K:K)</f>
        <v>0</v>
      </c>
      <c r="L397" s="40">
        <f t="shared" si="100"/>
        <v>0</v>
      </c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:23" ht="14.25" customHeight="1">
      <c r="A398" s="26" t="str">
        <f>A397</f>
        <v>F03.7</v>
      </c>
      <c r="B398" s="50" t="s">
        <v>197</v>
      </c>
      <c r="C398" s="49" t="str">
        <f>VLOOKUP(B398,'Composição dos serv'!A:I,3,FALSE)</f>
        <v>Remoção de aparelhos sanitarios - por banheiro</v>
      </c>
      <c r="D398" s="50" t="str">
        <f>VLOOKUP(B398,'Composição dos serv'!A:I,4,FALSE)</f>
        <v>unid</v>
      </c>
      <c r="E398" s="49">
        <v>1</v>
      </c>
      <c r="F398" s="37">
        <f t="shared" ref="F398:F400" si="106">ROUNDUP(E398*1,2)</f>
        <v>1</v>
      </c>
      <c r="G398" s="51">
        <f>SUMIF('Composição dos serv'!A:A,B398,'Composição dos serv'!I:I)</f>
        <v>0</v>
      </c>
      <c r="H398" s="51">
        <f t="shared" ref="H398:H404" si="107">E398*G398</f>
        <v>0</v>
      </c>
      <c r="I398" s="24"/>
      <c r="J398" s="24"/>
      <c r="K398" s="39">
        <f>SUMIF('Composição dos serv'!A:A,B398,'Composição dos serv'!K:K)</f>
        <v>0.19</v>
      </c>
      <c r="L398" s="40">
        <f t="shared" si="100"/>
        <v>1</v>
      </c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:23" ht="14.25" customHeight="1">
      <c r="A399" s="26" t="str">
        <f>A397</f>
        <v>F03.7</v>
      </c>
      <c r="B399" s="50" t="s">
        <v>209</v>
      </c>
      <c r="C399" s="37" t="str">
        <f>VLOOKUP(B399,'Composição dos serv'!A:I,3,FALSE)</f>
        <v>Remoção de aparelhos sanitarios - Cozinha e Área de Serviço</v>
      </c>
      <c r="D399" s="26" t="str">
        <f>VLOOKUP(B399,'Composição dos serv'!A:I,4,FALSE)</f>
        <v>unid</v>
      </c>
      <c r="E399" s="37">
        <v>1</v>
      </c>
      <c r="F399" s="37">
        <f t="shared" si="106"/>
        <v>1</v>
      </c>
      <c r="G399" s="51">
        <f>SUMIF('Composição dos serv'!A:A,B399,'Composição dos serv'!I:I)</f>
        <v>0</v>
      </c>
      <c r="H399" s="38">
        <f t="shared" si="107"/>
        <v>0</v>
      </c>
      <c r="I399" s="24"/>
      <c r="J399" s="24"/>
      <c r="K399" s="39">
        <f>SUMIF('Composição dos serv'!A:A,B399,'Composição dos serv'!K:K)</f>
        <v>0.21</v>
      </c>
      <c r="L399" s="40">
        <f t="shared" si="100"/>
        <v>1</v>
      </c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:23" ht="14.25" customHeight="1">
      <c r="A400" s="26" t="str">
        <f>A397</f>
        <v>F03.7</v>
      </c>
      <c r="B400" s="50" t="s">
        <v>215</v>
      </c>
      <c r="C400" s="37" t="str">
        <f>VLOOKUP(B400,'Composição dos serv'!A:I,3,FALSE)</f>
        <v>Remoção de caixa d'agua</v>
      </c>
      <c r="D400" s="26" t="str">
        <f>VLOOKUP(B400,'Composição dos serv'!A:I,4,FALSE)</f>
        <v>unid</v>
      </c>
      <c r="E400" s="37">
        <v>1</v>
      </c>
      <c r="F400" s="37">
        <f t="shared" si="106"/>
        <v>1</v>
      </c>
      <c r="G400" s="51">
        <f>SUMIF('Composição dos serv'!A:A,B400,'Composição dos serv'!I:I)</f>
        <v>0</v>
      </c>
      <c r="H400" s="38">
        <f t="shared" si="107"/>
        <v>0</v>
      </c>
      <c r="I400" s="24"/>
      <c r="J400" s="24"/>
      <c r="K400" s="39">
        <f>SUMIF('Composição dos serv'!A:A,B400,'Composição dos serv'!K:K)</f>
        <v>0.42000000000000004</v>
      </c>
      <c r="L400" s="40">
        <f t="shared" si="100"/>
        <v>1</v>
      </c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:23" ht="14.25" hidden="1" customHeight="1">
      <c r="A401" s="26" t="str">
        <f>A397</f>
        <v>F03.7</v>
      </c>
      <c r="B401" s="50" t="s">
        <v>219</v>
      </c>
      <c r="C401" s="37" t="str">
        <f>VLOOKUP(B401,'Composição dos serv'!A:I,3,FALSE)</f>
        <v>Remoção do Sistema de Para raios - área do telhado</v>
      </c>
      <c r="D401" s="26" t="str">
        <f>VLOOKUP(B401,'Composição dos serv'!A:I,4,FALSE)</f>
        <v>m²</v>
      </c>
      <c r="E401" s="37"/>
      <c r="F401" s="37">
        <f>ROUNDUP(E401/60,2)</f>
        <v>0</v>
      </c>
      <c r="G401" s="51">
        <f>SUMIF('Composição dos serv'!A:A,B401,'Composição dos serv'!I:I)</f>
        <v>0</v>
      </c>
      <c r="H401" s="38">
        <f t="shared" si="107"/>
        <v>0</v>
      </c>
      <c r="I401" s="24"/>
      <c r="J401" s="24"/>
      <c r="K401" s="39">
        <f>SUMIF('Composição dos serv'!A:A,B401,'Composição dos serv'!K:K)</f>
        <v>0.05</v>
      </c>
      <c r="L401" s="40">
        <f t="shared" si="100"/>
        <v>0</v>
      </c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spans="1:23" ht="14.25" customHeight="1">
      <c r="A402" s="26" t="str">
        <f>A397</f>
        <v>F03.7</v>
      </c>
      <c r="B402" s="50" t="s">
        <v>227</v>
      </c>
      <c r="C402" s="37" t="str">
        <f>VLOOKUP(B402,'Composição dos serv'!A:I,3,FALSE)</f>
        <v>Janelas</v>
      </c>
      <c r="D402" s="26" t="str">
        <f>VLOOKUP(B402,'Composição dos serv'!A:I,4,FALSE)</f>
        <v>un</v>
      </c>
      <c r="E402" s="37">
        <v>3</v>
      </c>
      <c r="F402" s="37">
        <f>ROUNDUP(E402*1.5*1.2*0.2,2)</f>
        <v>1.08</v>
      </c>
      <c r="G402" s="51">
        <f>SUMIF('Composição dos serv'!A:A,B402,'Composição dos serv'!I:I)</f>
        <v>0</v>
      </c>
      <c r="H402" s="38">
        <f t="shared" si="107"/>
        <v>0</v>
      </c>
      <c r="I402" s="24"/>
      <c r="J402" s="24"/>
      <c r="K402" s="39">
        <f>SUMIF('Composição dos serv'!A:A,B402,'Composição dos serv'!K:K)</f>
        <v>0</v>
      </c>
      <c r="L402" s="40">
        <f t="shared" si="100"/>
        <v>0</v>
      </c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spans="1:23" ht="14.25" customHeight="1">
      <c r="A403" s="26" t="str">
        <f>A397</f>
        <v>F03.7</v>
      </c>
      <c r="B403" s="50" t="s">
        <v>234</v>
      </c>
      <c r="C403" s="37" t="str">
        <f>VLOOKUP(B403,'Composição dos serv'!A:I,3,FALSE)</f>
        <v>Portas</v>
      </c>
      <c r="D403" s="26" t="str">
        <f>VLOOKUP(B403,'Composição dos serv'!A:I,4,FALSE)</f>
        <v>un</v>
      </c>
      <c r="E403" s="37">
        <v>2</v>
      </c>
      <c r="F403" s="37">
        <f>ROUNDUP(E403*2.1*0.9*0.2,2)</f>
        <v>0.76</v>
      </c>
      <c r="G403" s="51">
        <f>SUMIF('Composição dos serv'!A:A,B403,'Composição dos serv'!I:I)</f>
        <v>0</v>
      </c>
      <c r="H403" s="38">
        <f t="shared" si="107"/>
        <v>0</v>
      </c>
      <c r="I403" s="24"/>
      <c r="J403" s="24"/>
      <c r="K403" s="39">
        <f>SUMIF('Composição dos serv'!A:A,B403,'Composição dos serv'!K:K)</f>
        <v>0</v>
      </c>
      <c r="L403" s="40">
        <f t="shared" si="100"/>
        <v>0</v>
      </c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spans="1:23" ht="14.25" hidden="1" customHeight="1">
      <c r="A404" s="26" t="str">
        <f>A397</f>
        <v>F03.7</v>
      </c>
      <c r="B404" s="50" t="s">
        <v>236</v>
      </c>
      <c r="C404" s="37" t="str">
        <f>VLOOKUP(B404,'Composição dos serv'!A:I,3,FALSE)</f>
        <v>Guarda corpo de metal</v>
      </c>
      <c r="D404" s="26" t="str">
        <f>VLOOKUP(B404,'Composição dos serv'!A:I,4,FALSE)</f>
        <v>m</v>
      </c>
      <c r="E404" s="37"/>
      <c r="F404" s="37">
        <f>ROUNDUP(E404*1.7*0.05,2)</f>
        <v>0</v>
      </c>
      <c r="G404" s="51">
        <f>SUMIF('Composição dos serv'!A:A,B404,'Composição dos serv'!I:I)</f>
        <v>0</v>
      </c>
      <c r="H404" s="38">
        <f t="shared" si="107"/>
        <v>0</v>
      </c>
      <c r="I404" s="24"/>
      <c r="J404" s="24"/>
      <c r="K404" s="39">
        <f>SUMIF('Composição dos serv'!A:A,B404,'Composição dos serv'!K:K)</f>
        <v>0</v>
      </c>
      <c r="L404" s="40">
        <f t="shared" si="100"/>
        <v>0</v>
      </c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spans="1:23" ht="14.25" customHeight="1">
      <c r="A405" s="33" t="str">
        <f>CONCATENATE(A371,".8")</f>
        <v>F03.8</v>
      </c>
      <c r="B405" s="33" t="s">
        <v>240</v>
      </c>
      <c r="C405" s="48" t="str">
        <f>VLOOKUP(B405,'Composição dos serv'!A:I,3,FALSE)</f>
        <v>ENTULHO</v>
      </c>
      <c r="D405" s="48"/>
      <c r="E405" s="48"/>
      <c r="F405" s="48"/>
      <c r="G405" s="48"/>
      <c r="H405" s="48"/>
      <c r="I405" s="24"/>
      <c r="J405" s="24"/>
      <c r="K405" s="39">
        <f>SUMIF('Composição dos serv'!A:A,B405,'Composição dos serv'!K:K)</f>
        <v>0</v>
      </c>
      <c r="L405" s="40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:23" ht="14.25" hidden="1" customHeight="1">
      <c r="A406" s="26" t="str">
        <f>A405</f>
        <v>F03.8</v>
      </c>
      <c r="B406" s="50" t="s">
        <v>242</v>
      </c>
      <c r="C406" s="49" t="str">
        <f>VLOOKUP(B406,'Composição dos serv'!A:I,3,FALSE)</f>
        <v>Transporte e espalhamento Manual do entulho a ser reutilizado</v>
      </c>
      <c r="D406" s="50" t="s">
        <v>291</v>
      </c>
      <c r="E406" s="49"/>
      <c r="F406" s="52">
        <f>IF(E406=1,ROUNDUP((IF(E374&lt;&gt;"",F374,0)+IF(E375&lt;&gt;"",F375,0)+IF(E377&lt;&gt;"",F377,0)+IF(E378&lt;&gt;"",F378*0.34,0)+IF(E381&lt;&gt;"",F381*0.43,0)+IF(E384&lt;&gt;"",F384*0.8,0)+IF(E387&lt;&gt;"",F387*(0.78),0)+IF(E391&lt;&gt;"",F391*0.98,0)+IF(E393&lt;&gt;"",F393*0.91,0)+IF(E394&lt;&gt;"",F394*0.26,0)+IF(E395&lt;&gt;"",F395*0.24,0)+IF(E396&lt;&gt;"",F396,0)),2),0)</f>
        <v>0</v>
      </c>
      <c r="G406" s="51">
        <f>SUMIF('Composição dos serv'!A:A,B406,'Composição dos serv'!I:I)</f>
        <v>0</v>
      </c>
      <c r="H406" s="51">
        <f t="shared" ref="H406:H407" si="108">F406*G406</f>
        <v>0</v>
      </c>
      <c r="I406" s="24"/>
      <c r="J406" s="24"/>
      <c r="K406" s="39">
        <f>SUMIF('Composição dos serv'!A:A,B406,'Composição dos serv'!K:K)</f>
        <v>0.15000000000000002</v>
      </c>
      <c r="L406" s="40">
        <f t="shared" ref="L406:L409" si="109">ROUNDUP(K406*F406,0)</f>
        <v>0</v>
      </c>
      <c r="M406" s="45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:23" ht="14.25" customHeight="1">
      <c r="A407" s="26" t="str">
        <f>A405</f>
        <v>F03.8</v>
      </c>
      <c r="B407" s="50" t="s">
        <v>246</v>
      </c>
      <c r="C407" s="49" t="str">
        <f>VLOOKUP(B407,'Composição dos serv'!A:I,3,FALSE)</f>
        <v>Remoção e Transporte Mecanizado do entulho a ser reutilizado</v>
      </c>
      <c r="D407" s="50" t="s">
        <v>291</v>
      </c>
      <c r="E407" s="49">
        <v>1</v>
      </c>
      <c r="F407" s="52">
        <f>IF(E407=1,SUM(F374:F404)-H411,0)</f>
        <v>66.660000000000025</v>
      </c>
      <c r="G407" s="51">
        <f>SUMIF('Composição dos serv'!A:A,B407,'Composição dos serv'!I:I)</f>
        <v>0</v>
      </c>
      <c r="H407" s="51">
        <f t="shared" si="108"/>
        <v>0</v>
      </c>
      <c r="I407" s="24"/>
      <c r="J407" s="24"/>
      <c r="K407" s="39">
        <f>SUMIF('Composição dos serv'!A:A,B407,'Composição dos serv'!K:K)</f>
        <v>0.02</v>
      </c>
      <c r="L407" s="40">
        <f t="shared" si="109"/>
        <v>2</v>
      </c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spans="1:23" ht="14.25" customHeight="1">
      <c r="A408" s="26" t="str">
        <f>A405</f>
        <v>F03.8</v>
      </c>
      <c r="B408" s="50" t="s">
        <v>252</v>
      </c>
      <c r="C408" s="49" t="str">
        <f>VLOOKUP(B408,'Composição dos serv'!A:I,3,FALSE)</f>
        <v>Remoção do entulho com caçamba</v>
      </c>
      <c r="D408" s="50" t="s">
        <v>291</v>
      </c>
      <c r="E408" s="49"/>
      <c r="F408" s="52">
        <f>IF(E408=1,SUM(F374:F404),0)</f>
        <v>0</v>
      </c>
      <c r="G408" s="51">
        <f>SUMIF('Composição dos serv'!A:A,B408,'Composição dos serv'!I:I)</f>
        <v>0</v>
      </c>
      <c r="H408" s="51">
        <f>IF(E408&gt;1,"OPÇÃO ERRADA",F408*G408)+IF(G411=1,H411*G408,0)</f>
        <v>0</v>
      </c>
      <c r="I408" s="24"/>
      <c r="J408" s="24"/>
      <c r="K408" s="39">
        <f>SUMIF('Composição dos serv'!A:A,B408,'Composição dos serv'!K:K)</f>
        <v>0.02</v>
      </c>
      <c r="L408" s="40">
        <f t="shared" si="109"/>
        <v>0</v>
      </c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spans="1:23" ht="14.25" hidden="1" customHeight="1">
      <c r="A409" s="26" t="str">
        <f>A405</f>
        <v>F03.8</v>
      </c>
      <c r="B409" s="50" t="s">
        <v>256</v>
      </c>
      <c r="C409" s="49" t="str">
        <f>VLOOKUP(B409,'Composição dos serv'!A:I,3,FALSE)</f>
        <v>Remoção e Transporte Mecanizado do entulho para bota fora</v>
      </c>
      <c r="D409" s="50" t="s">
        <v>291</v>
      </c>
      <c r="E409" s="49"/>
      <c r="F409" s="52">
        <f>IF(E409=1,SUM(F374:F404),0)</f>
        <v>0</v>
      </c>
      <c r="G409" s="51">
        <f>SUMIF('Composição dos serv'!A:A,B409,'Composição dos serv'!I:I)</f>
        <v>0</v>
      </c>
      <c r="H409" s="51">
        <f>IF(E409&gt;1,"OPÇÃO ERRADA",F409*G409)+IF(G411=2,H411*G409,0)</f>
        <v>0</v>
      </c>
      <c r="I409" s="24"/>
      <c r="J409" s="24"/>
      <c r="K409" s="39">
        <f>SUMIF('Composição dos serv'!A:A,B409,'Composição dos serv'!K:K)</f>
        <v>7.9999999999999988E-2</v>
      </c>
      <c r="L409" s="40">
        <f t="shared" si="109"/>
        <v>0</v>
      </c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:23" ht="14.25" customHeight="1">
      <c r="A410" s="26" t="str">
        <f>A405</f>
        <v>F03.8</v>
      </c>
      <c r="B410" s="50" t="s">
        <v>264</v>
      </c>
      <c r="C410" s="49" t="str">
        <f>VLOOKUP(B410,'Composição dos serv'!A:I,3,FALSE)</f>
        <v>Remoção de telhas em cimento amianto</v>
      </c>
      <c r="D410" s="26" t="str">
        <f>VLOOKUP(B410,'Composição dos serv'!A:I,4,FALSE)</f>
        <v>m²</v>
      </c>
      <c r="E410" s="49">
        <f>SUM(E382:E383)</f>
        <v>150</v>
      </c>
      <c r="F410" s="52"/>
      <c r="G410" s="51">
        <f>SUMIF('Composição dos serv'!A:A,B410,'Composição dos serv'!I:I)</f>
        <v>0</v>
      </c>
      <c r="H410" s="51">
        <f>G410*E410</f>
        <v>0</v>
      </c>
      <c r="I410" s="24"/>
      <c r="J410" s="24"/>
      <c r="K410" s="39"/>
      <c r="L410" s="40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:23" ht="14.25" customHeight="1">
      <c r="A411" s="53"/>
      <c r="B411" s="53"/>
      <c r="C411" s="37" t="str">
        <f>IF(E408&lt;&gt;1,IF(E409&lt;&gt;1,IF(H411&lt;&gt;0,"Há Material não reutilizavel qual a destinação para ele?",""),""),"")</f>
        <v>Há Material não reutilizavel qual a destinação para ele?</v>
      </c>
      <c r="D411" s="168" t="str">
        <f>IF(E408&lt;&gt;1,IF(E409&lt;&gt;1,IF(H411&lt;&gt;0,"Caçamba = 1; Aterro = 2",""),""),"")</f>
        <v>Caçamba = 1; Aterro = 2</v>
      </c>
      <c r="E411" s="169"/>
      <c r="F411" s="170"/>
      <c r="G411" s="37">
        <v>1</v>
      </c>
      <c r="H411" s="54">
        <f>IF(E408=1,0,IF(E409=1,0,ROUNDUP((IF(E378&lt;&gt;"",F378*0.66,0)+IF(E381&lt;&gt;"",F381*0.57,0)+IF(E383&lt;&gt;"",F383,0)+IF(E384&lt;&gt;"",F384*0.2,0)+IF(E385&lt;&gt;"",F385,0)+IF(E387&lt;&gt;"",F387*0.22,0)+IF(E388&lt;&gt;"",F388,0)+IF(E389&lt;&gt;"",F389,0)+IF(E391&lt;&gt;"",F391*0.02,0)+IF(E393&lt;&gt;"",F393*0.09,0)+IF(E394&lt;&gt;"",F394*0.74,0)+IF(E395&lt;&gt;"",F395*(1-0.24),0)+IF(E398&lt;&gt;"",F398,0)+IF(E399&lt;&gt;"",F399,0)+IF(E400&lt;&gt;"",F400,0)+IF(E401&lt;&gt;"",F401,0)+IF(E402&lt;&gt;"",F402,0)+IF(E403&lt;&gt;"",F403,0)+IF(E404&lt;&gt;"",F404,0)+IF(E382&lt;&gt;"",F382,0)+IF(E380&lt;&gt;"",F380,0)),2)))</f>
        <v>68.84</v>
      </c>
      <c r="I411" s="24"/>
      <c r="J411" s="24"/>
      <c r="K411" s="39"/>
      <c r="L411" s="40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:23" ht="6" customHeight="1">
      <c r="I412" s="24"/>
      <c r="J412" s="24"/>
      <c r="K412" s="39">
        <f>SUMIF('Composição dos serv'!A:A,'PESM Itutinga Piloes pt2'!B412,'Composição dos serv'!K:K)</f>
        <v>0</v>
      </c>
      <c r="L412" s="40">
        <f>ROUNDUP(K412*E412,0)</f>
        <v>0</v>
      </c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spans="1:23" ht="14.25" customHeight="1">
      <c r="A413" s="88" t="str">
        <f>A371</f>
        <v>F03</v>
      </c>
      <c r="B413" s="181" t="str">
        <f>C371</f>
        <v>EDIFICAÇÃO 24 - Gleba F03</v>
      </c>
      <c r="C413" s="169"/>
      <c r="D413" s="182" t="s">
        <v>280</v>
      </c>
      <c r="E413" s="169"/>
      <c r="F413" s="169"/>
      <c r="G413" s="90">
        <f>SUM(H374:H410)</f>
        <v>0</v>
      </c>
      <c r="H413" s="91"/>
      <c r="I413" s="24"/>
      <c r="J413" s="24"/>
      <c r="K413" s="39">
        <f>IF(SUM(L406:L409)&gt;SUM(L374:L404),SUM(L406:L409),SUM(L374:L404))</f>
        <v>45</v>
      </c>
      <c r="L413" s="40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:23" ht="9.75" customHeight="1">
      <c r="A414" s="66"/>
      <c r="B414" s="53"/>
      <c r="D414" s="53"/>
      <c r="G414" s="67"/>
      <c r="H414" s="67"/>
      <c r="I414" s="24"/>
      <c r="J414" s="24"/>
      <c r="K414" s="39">
        <f>SUMIF('Composição dos serv'!A:A,'PESM Itutinga Piloes pt2'!B414,'Composição dos serv'!K:K)</f>
        <v>0</v>
      </c>
      <c r="L414" s="40">
        <f t="shared" ref="L414:L416" si="110">ROUNDUP(K414*E414,0)</f>
        <v>0</v>
      </c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spans="1:23" ht="14.25" customHeight="1">
      <c r="A415" s="46" t="s">
        <v>347</v>
      </c>
      <c r="B415" s="46">
        <v>2</v>
      </c>
      <c r="C415" s="47" t="s">
        <v>348</v>
      </c>
      <c r="D415" s="47"/>
      <c r="E415" s="47"/>
      <c r="F415" s="47"/>
      <c r="G415" s="47"/>
      <c r="H415" s="47"/>
      <c r="I415" s="24"/>
      <c r="J415" s="24"/>
      <c r="K415" s="39">
        <f>SUMIF('Composição dos serv'!A:A,'PESM Itutinga Piloes pt2'!B415,'Composição dos serv'!K:K)</f>
        <v>0</v>
      </c>
      <c r="L415" s="40">
        <f t="shared" si="110"/>
        <v>0</v>
      </c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:23" ht="14.25" hidden="1" customHeight="1">
      <c r="A416" s="26"/>
      <c r="B416" s="66"/>
      <c r="C416" s="66"/>
      <c r="D416" s="66"/>
      <c r="E416" s="66"/>
      <c r="F416" s="66"/>
      <c r="G416" s="66"/>
      <c r="H416" s="66"/>
      <c r="I416" s="24"/>
      <c r="J416" s="24"/>
      <c r="K416" s="39">
        <f>SUMIF('Composição dos serv'!A:A,'PESM Itutinga Piloes pt2'!B416,'Composição dos serv'!K:K)</f>
        <v>0</v>
      </c>
      <c r="L416" s="40">
        <f t="shared" si="110"/>
        <v>0</v>
      </c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spans="1:23" ht="14.25" customHeight="1">
      <c r="A417" s="33" t="str">
        <f>CONCATENATE(A415,".1")</f>
        <v>F04.1</v>
      </c>
      <c r="B417" s="33" t="s">
        <v>67</v>
      </c>
      <c r="C417" s="48" t="str">
        <f>VLOOKUP(B417,'Composição dos serv'!A:I,3,FALSE)</f>
        <v>DEMOLIÇÃO DE CALÇADAS E/OU CAMINHOS</v>
      </c>
      <c r="D417" s="48"/>
      <c r="E417" s="48"/>
      <c r="F417" s="48"/>
      <c r="G417" s="48"/>
      <c r="H417" s="48"/>
      <c r="I417" s="24"/>
      <c r="J417" s="24"/>
      <c r="K417" s="31"/>
      <c r="L417" s="32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spans="1:23" ht="14.25" hidden="1" customHeight="1">
      <c r="A418" s="26" t="str">
        <f>A417</f>
        <v>F04.1</v>
      </c>
      <c r="B418" s="26" t="s">
        <v>69</v>
      </c>
      <c r="C418" s="49" t="str">
        <f>VLOOKUP(B418,'Composição dos serv'!A:I,3,FALSE)</f>
        <v>Demolição de calçada ou caminhos</v>
      </c>
      <c r="D418" s="50" t="str">
        <f>VLOOKUP(B418,'Composição dos serv'!A:I,4,FALSE)</f>
        <v>m²</v>
      </c>
      <c r="E418" s="49"/>
      <c r="F418" s="49">
        <f>ROUNDUP(E418*0.15,2)</f>
        <v>0</v>
      </c>
      <c r="G418" s="51">
        <f>SUMIF('Composição dos serv'!A:A,'PESM Itutinga Piloes pt2'!B418,'Composição dos serv'!I:I)</f>
        <v>0</v>
      </c>
      <c r="H418" s="51">
        <f t="shared" ref="H418:H419" si="111">E418*G418</f>
        <v>0</v>
      </c>
      <c r="I418" s="24"/>
      <c r="J418" s="24"/>
      <c r="K418" s="39">
        <f>SUMIF('Composição dos serv'!A:A,B418,'Composição dos serv'!K:K)</f>
        <v>0.12</v>
      </c>
      <c r="L418" s="40">
        <f t="shared" ref="L418:L448" si="112">ROUNDUP(K418*E418,0)</f>
        <v>0</v>
      </c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spans="1:23" ht="14.25" hidden="1" customHeight="1">
      <c r="A419" s="26" t="str">
        <f>A417</f>
        <v>F04.1</v>
      </c>
      <c r="B419" s="26" t="s">
        <v>75</v>
      </c>
      <c r="C419" s="37" t="str">
        <f>VLOOKUP(B419,'Composição dos serv'!A:I,3,FALSE)</f>
        <v>Demolição de via Asfaltada, em paralelepípedo ou intertravados</v>
      </c>
      <c r="D419" s="26" t="str">
        <f>VLOOKUP(B419,'Composição dos serv'!A:I,4,FALSE)</f>
        <v>m²</v>
      </c>
      <c r="E419" s="37"/>
      <c r="F419" s="37">
        <f>ROUNDUP(E419*0.2,2)</f>
        <v>0</v>
      </c>
      <c r="G419" s="38">
        <f>SUMIF('Composição dos serv'!A:A,'PESM Itutinga Piloes pt2'!B419,'Composição dos serv'!I:I)</f>
        <v>0</v>
      </c>
      <c r="H419" s="38">
        <f t="shared" si="111"/>
        <v>0</v>
      </c>
      <c r="I419" s="24"/>
      <c r="J419" s="24"/>
      <c r="K419" s="39">
        <f>SUMIF('Composição dos serv'!A:A,B419,'Composição dos serv'!K:K)</f>
        <v>0.06</v>
      </c>
      <c r="L419" s="40">
        <f t="shared" si="112"/>
        <v>0</v>
      </c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spans="1:23" ht="14.25" customHeight="1">
      <c r="A420" s="33" t="str">
        <f>CONCATENATE(A415,".2")</f>
        <v>F04.2</v>
      </c>
      <c r="B420" s="33" t="s">
        <v>85</v>
      </c>
      <c r="C420" s="34" t="str">
        <f>VLOOKUP(B420,'Composição dos serv'!A:I,3,FALSE)</f>
        <v>DEMOLIÇÃO DE MUROS E CERCAS</v>
      </c>
      <c r="D420" s="35"/>
      <c r="E420" s="35"/>
      <c r="F420" s="35"/>
      <c r="G420" s="35"/>
      <c r="H420" s="36"/>
      <c r="I420" s="24"/>
      <c r="J420" s="24"/>
      <c r="K420" s="39">
        <f>SUMIF('Composição dos serv'!A:A,B420,'Composição dos serv'!K:K)</f>
        <v>0</v>
      </c>
      <c r="L420" s="40">
        <f t="shared" si="112"/>
        <v>0</v>
      </c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spans="1:23" ht="14.25" hidden="1" customHeight="1">
      <c r="A421" s="26" t="str">
        <f>A420</f>
        <v>F04.2</v>
      </c>
      <c r="B421" s="26" t="s">
        <v>87</v>
      </c>
      <c r="C421" s="37" t="str">
        <f>VLOOKUP(B421,'Composição dos serv'!A:I,3,FALSE)</f>
        <v>Demolição de muro em alvenaria ou alambrados</v>
      </c>
      <c r="D421" s="26" t="str">
        <f>VLOOKUP(B421,'Composição dos serv'!A:I,4,FALSE)</f>
        <v>m</v>
      </c>
      <c r="E421" s="37"/>
      <c r="F421" s="37">
        <f>ROUNDUP(E421*0.2*2.4,2)</f>
        <v>0</v>
      </c>
      <c r="G421" s="38">
        <f>SUMIF('Composição dos serv'!A:A,'PESM Itutinga Piloes pt2'!B421,'Composição dos serv'!I:I)</f>
        <v>0</v>
      </c>
      <c r="H421" s="38">
        <f t="shared" ref="H421:H422" si="113">E421*G421</f>
        <v>0</v>
      </c>
      <c r="I421" s="24"/>
      <c r="J421" s="24"/>
      <c r="K421" s="39">
        <f>SUMIF('Composição dos serv'!A:A,B421,'Composição dos serv'!K:K)</f>
        <v>0.26</v>
      </c>
      <c r="L421" s="40">
        <f t="shared" si="112"/>
        <v>0</v>
      </c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spans="1:23" ht="14.25" customHeight="1">
      <c r="A422" s="26" t="str">
        <f>A420</f>
        <v>F04.2</v>
      </c>
      <c r="B422" s="26" t="s">
        <v>93</v>
      </c>
      <c r="C422" s="37" t="str">
        <f>VLOOKUP(B422,'Composição dos serv'!A:I,3,FALSE)</f>
        <v>Demolição de Cercas</v>
      </c>
      <c r="D422" s="26" t="str">
        <f>VLOOKUP(B422,'Composição dos serv'!A:I,4,FALSE)</f>
        <v>m</v>
      </c>
      <c r="E422" s="37">
        <v>100</v>
      </c>
      <c r="F422" s="37">
        <f>ROUNDUP(E422*0.1*1.8,2)</f>
        <v>18</v>
      </c>
      <c r="G422" s="38">
        <f>SUMIF('Composição dos serv'!A:A,'PESM Itutinga Piloes pt2'!B422,'Composição dos serv'!I:I)</f>
        <v>0</v>
      </c>
      <c r="H422" s="38">
        <f t="shared" si="113"/>
        <v>0</v>
      </c>
      <c r="I422" s="24"/>
      <c r="J422" s="24"/>
      <c r="K422" s="39">
        <f>SUMIF('Composição dos serv'!A:A,B422,'Composição dos serv'!K:K)</f>
        <v>0.06</v>
      </c>
      <c r="L422" s="40">
        <f t="shared" si="112"/>
        <v>6</v>
      </c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spans="1:23" ht="14.25" customHeight="1">
      <c r="A423" s="33" t="str">
        <f>CONCATENATE(A415,".3")</f>
        <v>F04.3</v>
      </c>
      <c r="B423" s="33" t="s">
        <v>99</v>
      </c>
      <c r="C423" s="48" t="str">
        <f>VLOOKUP(B423,'Composição dos serv'!A:I,3,FALSE)</f>
        <v>COBERTURA</v>
      </c>
      <c r="D423" s="48"/>
      <c r="E423" s="48"/>
      <c r="F423" s="48"/>
      <c r="G423" s="48"/>
      <c r="H423" s="48"/>
      <c r="I423" s="24"/>
      <c r="J423" s="24"/>
      <c r="K423" s="39">
        <f>SUMIF('Composição dos serv'!A:A,B423,'Composição dos serv'!K:K)</f>
        <v>0</v>
      </c>
      <c r="L423" s="40">
        <f t="shared" si="112"/>
        <v>0</v>
      </c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spans="1:23" ht="14.25" customHeight="1">
      <c r="A424" s="26" t="str">
        <f t="shared" ref="A424:A429" si="114">A423</f>
        <v>F04.3</v>
      </c>
      <c r="B424" s="26" t="s">
        <v>101</v>
      </c>
      <c r="C424" s="37" t="str">
        <f>VLOOKUP(B424,'Composição dos serv'!A:I,3,FALSE)</f>
        <v>Retirada de Estrutura de madeira sem telhas</v>
      </c>
      <c r="D424" s="26" t="str">
        <f>VLOOKUP(B424,'Composição dos serv'!A:I,4,FALSE)</f>
        <v>m²</v>
      </c>
      <c r="E424" s="37">
        <v>12</v>
      </c>
      <c r="F424" s="37">
        <f>ROUNDUP(E424*0.2,2)</f>
        <v>2.4</v>
      </c>
      <c r="G424" s="38">
        <f>SUMIF('Composição dos serv'!A:A,'PESM Itutinga Piloes pt2'!B424,'Composição dos serv'!I:I)</f>
        <v>0</v>
      </c>
      <c r="H424" s="38">
        <f t="shared" ref="H424:H429" si="115">E424*G424</f>
        <v>0</v>
      </c>
      <c r="I424" s="24"/>
      <c r="J424" s="24"/>
      <c r="K424" s="39">
        <f>SUMIF('Composição dos serv'!A:A,B424,'Composição dos serv'!K:K)</f>
        <v>0.03</v>
      </c>
      <c r="L424" s="40">
        <f t="shared" si="112"/>
        <v>1</v>
      </c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spans="1:23" ht="14.25" hidden="1" customHeight="1">
      <c r="A425" s="26" t="str">
        <f t="shared" si="114"/>
        <v>F04.3</v>
      </c>
      <c r="B425" s="26" t="s">
        <v>105</v>
      </c>
      <c r="C425" s="37" t="str">
        <f>VLOOKUP(B425,'Composição dos serv'!A:I,3,FALSE)</f>
        <v>Retirada de Telhas de Barro com Estrutura em madeira (tesouras, treliças,...)</v>
      </c>
      <c r="D425" s="26" t="str">
        <f>VLOOKUP(B425,'Composição dos serv'!A:I,4,FALSE)</f>
        <v>m²</v>
      </c>
      <c r="E425" s="37"/>
      <c r="F425" s="37">
        <f>ROUNDUP(E425*0.08+E425*0.2,2)</f>
        <v>0</v>
      </c>
      <c r="G425" s="38">
        <f>SUMIF('Composição dos serv'!A:A,'PESM Itutinga Piloes pt2'!B425,'Composição dos serv'!I:I)</f>
        <v>0</v>
      </c>
      <c r="H425" s="38">
        <f t="shared" si="115"/>
        <v>0</v>
      </c>
      <c r="I425" s="24"/>
      <c r="J425" s="24"/>
      <c r="K425" s="39">
        <f>SUMIF('Composição dos serv'!A:A,B425,'Composição dos serv'!K:K)</f>
        <v>0.06</v>
      </c>
      <c r="L425" s="40">
        <f t="shared" si="112"/>
        <v>0</v>
      </c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spans="1:23" ht="14.25" hidden="1" customHeight="1">
      <c r="A426" s="26" t="str">
        <f t="shared" si="114"/>
        <v>F04.3</v>
      </c>
      <c r="B426" s="26" t="s">
        <v>111</v>
      </c>
      <c r="C426" s="37" t="str">
        <f>VLOOKUP(B426,'Composição dos serv'!A:I,3,FALSE)</f>
        <v>Retirada de Telhas de amianto Sem Estrutura</v>
      </c>
      <c r="D426" s="26" t="str">
        <f>VLOOKUP(B426,'Composição dos serv'!A:I,4,FALSE)</f>
        <v>m²</v>
      </c>
      <c r="E426" s="37"/>
      <c r="F426" s="37"/>
      <c r="G426" s="38">
        <f>SUMIF('Composição dos serv'!A:A,'PESM Itutinga Piloes pt2'!B426,'Composição dos serv'!I:I)</f>
        <v>0</v>
      </c>
      <c r="H426" s="38">
        <f t="shared" si="115"/>
        <v>0</v>
      </c>
      <c r="I426" s="24"/>
      <c r="J426" s="24"/>
      <c r="K426" s="39">
        <f>SUMIF('Composição dos serv'!A:A,B426,'Composição dos serv'!K:K)</f>
        <v>0.02</v>
      </c>
      <c r="L426" s="40">
        <f t="shared" si="112"/>
        <v>0</v>
      </c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spans="1:23" ht="14.25" customHeight="1">
      <c r="A427" s="26" t="str">
        <f t="shared" si="114"/>
        <v>F04.3</v>
      </c>
      <c r="B427" s="26" t="s">
        <v>117</v>
      </c>
      <c r="C427" s="37" t="str">
        <f>VLOOKUP(B427,'Composição dos serv'!A:I,3,FALSE)</f>
        <v>Retirada de Telhas de amianto com Estrutura em madeira (tesouras, treliças,...)</v>
      </c>
      <c r="D427" s="26" t="str">
        <f>VLOOKUP(B427,'Composição dos serv'!A:I,4,FALSE)</f>
        <v>m²</v>
      </c>
      <c r="E427" s="37">
        <v>76</v>
      </c>
      <c r="F427" s="37">
        <f>ROUNDUP(E427*0.1,2)</f>
        <v>7.6</v>
      </c>
      <c r="G427" s="38">
        <f>SUMIF('Composição dos serv'!A:A,'PESM Itutinga Piloes pt2'!B427,'Composição dos serv'!I:I)</f>
        <v>0</v>
      </c>
      <c r="H427" s="38">
        <f t="shared" si="115"/>
        <v>0</v>
      </c>
      <c r="I427" s="24"/>
      <c r="J427" s="24"/>
      <c r="K427" s="39">
        <f>SUMIF('Composição dos serv'!A:A,B427,'Composição dos serv'!K:K)</f>
        <v>0.04</v>
      </c>
      <c r="L427" s="40">
        <f t="shared" si="112"/>
        <v>4</v>
      </c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:23" ht="14.25" hidden="1" customHeight="1">
      <c r="A428" s="26" t="str">
        <f t="shared" si="114"/>
        <v>F04.3</v>
      </c>
      <c r="B428" s="26" t="s">
        <v>121</v>
      </c>
      <c r="C428" s="37" t="str">
        <f>VLOOKUP(B428,'Composição dos serv'!A:I,3,FALSE)</f>
        <v>Retirada de Laje em concreto</v>
      </c>
      <c r="D428" s="26" t="str">
        <f>VLOOKUP(B428,'Composição dos serv'!A:I,4,FALSE)</f>
        <v>m²</v>
      </c>
      <c r="E428" s="37"/>
      <c r="F428" s="37">
        <f>ROUNDUP(E428*0.12,2)</f>
        <v>0</v>
      </c>
      <c r="G428" s="38">
        <f>SUMIF('Composição dos serv'!A:A,'PESM Itutinga Piloes pt2'!B428,'Composição dos serv'!I:I)</f>
        <v>0</v>
      </c>
      <c r="H428" s="38">
        <f t="shared" si="115"/>
        <v>0</v>
      </c>
      <c r="I428" s="24"/>
      <c r="J428" s="24"/>
      <c r="K428" s="39">
        <f>SUMIF('Composição dos serv'!A:A,B428,'Composição dos serv'!K:K)</f>
        <v>0.09</v>
      </c>
      <c r="L428" s="40">
        <f t="shared" si="112"/>
        <v>0</v>
      </c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spans="1:23" ht="14.25" hidden="1" customHeight="1">
      <c r="A429" s="26" t="str">
        <f t="shared" si="114"/>
        <v>F04.3</v>
      </c>
      <c r="B429" s="26" t="s">
        <v>129</v>
      </c>
      <c r="C429" s="37" t="str">
        <f>VLOOKUP(B429,'Composição dos serv'!A:I,3,FALSE)</f>
        <v>Retirada de Forros qualquer com sistema de fixação</v>
      </c>
      <c r="D429" s="26" t="str">
        <f>VLOOKUP(B429,'Composição dos serv'!A:I,4,FALSE)</f>
        <v>m²</v>
      </c>
      <c r="E429" s="37"/>
      <c r="F429" s="37">
        <f>ROUNDUP(E429*0.1,2)</f>
        <v>0</v>
      </c>
      <c r="G429" s="38">
        <f>SUMIF('Composição dos serv'!A:A,'PESM Itutinga Piloes pt2'!B429,'Composição dos serv'!I:I)</f>
        <v>0</v>
      </c>
      <c r="H429" s="38">
        <f t="shared" si="115"/>
        <v>0</v>
      </c>
      <c r="I429" s="24"/>
      <c r="J429" s="24"/>
      <c r="K429" s="39">
        <f>SUMIF('Composição dos serv'!A:A,B429,'Composição dos serv'!K:K)</f>
        <v>0.04</v>
      </c>
      <c r="L429" s="40">
        <f t="shared" si="112"/>
        <v>0</v>
      </c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spans="1:23" ht="14.25" customHeight="1">
      <c r="A430" s="33" t="str">
        <f>CONCATENATE(A415,".4")</f>
        <v>F04.4</v>
      </c>
      <c r="B430" s="33" t="s">
        <v>133</v>
      </c>
      <c r="C430" s="34" t="str">
        <f>VLOOKUP(B430,'Composição dos serv'!A:I,3,FALSE)</f>
        <v>PAREDES</v>
      </c>
      <c r="D430" s="35"/>
      <c r="E430" s="35"/>
      <c r="F430" s="35"/>
      <c r="G430" s="35"/>
      <c r="H430" s="36"/>
      <c r="I430" s="24"/>
      <c r="J430" s="24"/>
      <c r="K430" s="39">
        <f>SUMIF('Composição dos serv'!A:A,B430,'Composição dos serv'!K:K)</f>
        <v>0</v>
      </c>
      <c r="L430" s="40">
        <f t="shared" si="112"/>
        <v>0</v>
      </c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spans="1:23" ht="14.25" customHeight="1">
      <c r="A431" s="26" t="str">
        <f>A430</f>
        <v>F04.4</v>
      </c>
      <c r="B431" s="26" t="s">
        <v>135</v>
      </c>
      <c r="C431" s="37" t="str">
        <f>VLOOKUP(B431,'Composição dos serv'!A:I,3,FALSE)</f>
        <v>Parede em Alvenaria - usar área construida</v>
      </c>
      <c r="D431" s="26" t="str">
        <f>VLOOKUP(B431,'Composição dos serv'!A:I,4,FALSE)</f>
        <v>m²</v>
      </c>
      <c r="E431" s="49">
        <v>76</v>
      </c>
      <c r="F431" s="37">
        <f>ROUNDUP(E431*0.8,2)</f>
        <v>60.8</v>
      </c>
      <c r="G431" s="38">
        <f>SUMIF('Composição dos serv'!A:A,B431,'Composição dos serv'!I:I)</f>
        <v>0</v>
      </c>
      <c r="H431" s="38">
        <f t="shared" ref="H431:H433" si="116">E431*G431</f>
        <v>0</v>
      </c>
      <c r="I431" s="24"/>
      <c r="J431" s="24"/>
      <c r="K431" s="39">
        <f>SUMIF('Composição dos serv'!A:A,B431,'Composição dos serv'!K:K)</f>
        <v>0.15000000000000002</v>
      </c>
      <c r="L431" s="40">
        <f t="shared" si="112"/>
        <v>12</v>
      </c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4.25" hidden="1" customHeight="1">
      <c r="A432" s="26" t="str">
        <f>A430</f>
        <v>F04.4</v>
      </c>
      <c r="B432" s="26" t="s">
        <v>143</v>
      </c>
      <c r="C432" s="37" t="str">
        <f>VLOOKUP(B432,'Composição dos serv'!A:I,3,FALSE)</f>
        <v>Parede em Madeirite - Chapas de madeira compensada ou aglomerada - área construída</v>
      </c>
      <c r="D432" s="26" t="str">
        <f>VLOOKUP(B432,'Composição dos serv'!A:I,4,FALSE)</f>
        <v>m²</v>
      </c>
      <c r="E432" s="37"/>
      <c r="F432" s="37">
        <f>ROUNDUP(E432*0.21,2)</f>
        <v>0</v>
      </c>
      <c r="G432" s="38">
        <f>SUMIF('Composição dos serv'!A:A,B432,'Composição dos serv'!I:I)</f>
        <v>0</v>
      </c>
      <c r="H432" s="38">
        <f t="shared" si="116"/>
        <v>0</v>
      </c>
      <c r="I432" s="24"/>
      <c r="J432" s="24"/>
      <c r="K432" s="39">
        <f>SUMIF('Composição dos serv'!A:A,B432,'Composição dos serv'!K:K)</f>
        <v>0.15000000000000002</v>
      </c>
      <c r="L432" s="40">
        <f t="shared" si="112"/>
        <v>0</v>
      </c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spans="1:23" ht="14.25" hidden="1" customHeight="1">
      <c r="A433" s="26" t="str">
        <f>A430</f>
        <v>F04.4</v>
      </c>
      <c r="B433" s="26" t="s">
        <v>145</v>
      </c>
      <c r="C433" s="37" t="str">
        <f>VLOOKUP(B433,'Composição dos serv'!A:I,3,FALSE)</f>
        <v>Parede em Lambril de madeira - área construída</v>
      </c>
      <c r="D433" s="26" t="str">
        <f>VLOOKUP(B433,'Composição dos serv'!A:I,4,FALSE)</f>
        <v>m²</v>
      </c>
      <c r="E433" s="37"/>
      <c r="F433" s="37">
        <f>ROUNDUP(E433*4*0.12,2)</f>
        <v>0</v>
      </c>
      <c r="G433" s="38">
        <f>SUMIF('Composição dos serv'!A:A,B433,'Composição dos serv'!I:I)</f>
        <v>0</v>
      </c>
      <c r="H433" s="38">
        <f t="shared" si="116"/>
        <v>0</v>
      </c>
      <c r="I433" s="24"/>
      <c r="J433" s="24"/>
      <c r="K433" s="39">
        <f>SUMIF('Composição dos serv'!A:A,B433,'Composição dos serv'!K:K)</f>
        <v>0.35000000000000009</v>
      </c>
      <c r="L433" s="40">
        <f t="shared" si="112"/>
        <v>0</v>
      </c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spans="1:23" ht="14.25" customHeight="1">
      <c r="A434" s="33" t="str">
        <f>CONCATENATE(A415,".5")</f>
        <v>F04.5</v>
      </c>
      <c r="B434" s="33" t="s">
        <v>153</v>
      </c>
      <c r="C434" s="34" t="str">
        <f>VLOOKUP(B434,'Composição dos serv'!A:I,3,FALSE)</f>
        <v>PISO E FUNDAÇÃO</v>
      </c>
      <c r="D434" s="35"/>
      <c r="E434" s="35"/>
      <c r="F434" s="35"/>
      <c r="G434" s="35"/>
      <c r="H434" s="36"/>
      <c r="I434" s="24"/>
      <c r="J434" s="24"/>
      <c r="K434" s="39">
        <f>SUMIF('Composição dos serv'!A:A,B434,'Composição dos serv'!K:K)</f>
        <v>0</v>
      </c>
      <c r="L434" s="40">
        <f t="shared" si="112"/>
        <v>0</v>
      </c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spans="1:23" ht="14.25" hidden="1" customHeight="1">
      <c r="A435" s="26" t="str">
        <f>A434</f>
        <v>F04.5</v>
      </c>
      <c r="B435" s="26" t="s">
        <v>155</v>
      </c>
      <c r="C435" s="37" t="str">
        <f>VLOOKUP(B435,'Composição dos serv'!A:I,3,FALSE)</f>
        <v>Piso da edificação com fundação</v>
      </c>
      <c r="D435" s="26" t="str">
        <f>VLOOKUP(B435,'Composição dos serv'!A:I,4,FALSE)</f>
        <v>m²</v>
      </c>
      <c r="E435" s="37"/>
      <c r="F435" s="37">
        <f>ROUNDUP(E435*0.24,2)</f>
        <v>0</v>
      </c>
      <c r="G435" s="38">
        <f>SUMIF('Composição dos serv'!A:A,B435,'Composição dos serv'!I:I)</f>
        <v>0</v>
      </c>
      <c r="H435" s="38">
        <f>E435*G435</f>
        <v>0</v>
      </c>
      <c r="I435" s="24"/>
      <c r="J435" s="24"/>
      <c r="K435" s="39">
        <f>SUMIF('Composição dos serv'!A:A,B435,'Composição dos serv'!K:K)</f>
        <v>0.17</v>
      </c>
      <c r="L435" s="40">
        <f t="shared" si="112"/>
        <v>0</v>
      </c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spans="1:23" ht="14.25" customHeight="1">
      <c r="A436" s="33" t="str">
        <f>CONCATENATE(A415,".6")</f>
        <v>F04.6</v>
      </c>
      <c r="B436" s="33" t="s">
        <v>161</v>
      </c>
      <c r="C436" s="48" t="str">
        <f>VLOOKUP(B436,'Composição dos serv'!A:I,3,FALSE)</f>
        <v>ESTRUTURAS DIVERSAS</v>
      </c>
      <c r="D436" s="48"/>
      <c r="E436" s="48"/>
      <c r="F436" s="48"/>
      <c r="G436" s="48"/>
      <c r="H436" s="48"/>
      <c r="I436" s="24"/>
      <c r="J436" s="24"/>
      <c r="K436" s="39">
        <f>SUMIF('Composição dos serv'!A:A,B436,'Composição dos serv'!K:K)</f>
        <v>0</v>
      </c>
      <c r="L436" s="40">
        <f t="shared" si="112"/>
        <v>0</v>
      </c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spans="1:23" ht="14.25" hidden="1" customHeight="1">
      <c r="A437" s="26" t="str">
        <f>A436</f>
        <v>F04.6</v>
      </c>
      <c r="B437" s="26" t="s">
        <v>163</v>
      </c>
      <c r="C437" s="37" t="str">
        <f>VLOOKUP(B437,'Composição dos serv'!A:I,3,FALSE)</f>
        <v>Escada em concreto com corrimão</v>
      </c>
      <c r="D437" s="26" t="str">
        <f>VLOOKUP(B437,'Composição dos serv'!A:I,4,FALSE)</f>
        <v>m</v>
      </c>
      <c r="E437" s="49"/>
      <c r="F437" s="37">
        <f>ROUNDUP(E437*1.2*0.25,2)</f>
        <v>0</v>
      </c>
      <c r="G437" s="38">
        <f>SUMIF('Composição dos serv'!A:A,'PESM Itutinga Piloes pt2'!B437,'Composição dos serv'!I:I)</f>
        <v>0</v>
      </c>
      <c r="H437" s="38">
        <f t="shared" ref="H437:H440" si="117">E437*G437</f>
        <v>0</v>
      </c>
      <c r="I437" s="24"/>
      <c r="J437" s="24"/>
      <c r="K437" s="39">
        <f>SUMIF('Composição dos serv'!A:A,B437,'Composição dos serv'!K:K)</f>
        <v>0.39</v>
      </c>
      <c r="L437" s="40">
        <f t="shared" si="112"/>
        <v>0</v>
      </c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spans="1:23" ht="14.25" customHeight="1">
      <c r="A438" s="26" t="str">
        <f>A436</f>
        <v>F04.6</v>
      </c>
      <c r="B438" s="26" t="s">
        <v>169</v>
      </c>
      <c r="C438" s="37" t="str">
        <f>VLOOKUP(B438,'Composição dos serv'!A:I,3,FALSE)</f>
        <v>Entrada de Energia - medidor</v>
      </c>
      <c r="D438" s="26" t="str">
        <f>VLOOKUP(B438,'Composição dos serv'!A:I,4,FALSE)</f>
        <v>un</v>
      </c>
      <c r="E438" s="37">
        <v>1</v>
      </c>
      <c r="F438" s="37">
        <f>ROUNDUP(E438*(3.2+(((3.1415*0.4^2)/4)*6)),2)</f>
        <v>3.96</v>
      </c>
      <c r="G438" s="38">
        <f>SUMIF('Composição dos serv'!A:A,'PESM Itutinga Piloes pt2'!B438,'Composição dos serv'!I:I)</f>
        <v>0</v>
      </c>
      <c r="H438" s="38">
        <f t="shared" si="117"/>
        <v>0</v>
      </c>
      <c r="I438" s="24"/>
      <c r="J438" s="24"/>
      <c r="K438" s="39">
        <f>SUMIF('Composição dos serv'!A:A,B438,'Composição dos serv'!K:K)</f>
        <v>1.7600000000000002</v>
      </c>
      <c r="L438" s="40">
        <f t="shared" si="112"/>
        <v>2</v>
      </c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spans="1:23" ht="14.25" hidden="1" customHeight="1">
      <c r="A439" s="26" t="str">
        <f>A436</f>
        <v>F04.6</v>
      </c>
      <c r="B439" s="26" t="s">
        <v>183</v>
      </c>
      <c r="C439" s="37" t="str">
        <f>VLOOKUP(B439,'Composição dos serv'!A:I,3,FALSE)</f>
        <v>Hidrômetro com abrigo</v>
      </c>
      <c r="D439" s="26" t="str">
        <f>VLOOKUP(B439,'Composição dos serv'!A:I,4,FALSE)</f>
        <v>un</v>
      </c>
      <c r="E439" s="37"/>
      <c r="F439" s="37">
        <f>ROUNDUP(E439*(1.7+0.1),2)</f>
        <v>0</v>
      </c>
      <c r="G439" s="38">
        <f>SUMIF('Composição dos serv'!A:A,'PESM Itutinga Piloes pt2'!B439,'Composição dos serv'!I:I)</f>
        <v>0</v>
      </c>
      <c r="H439" s="38">
        <f t="shared" si="117"/>
        <v>0</v>
      </c>
      <c r="I439" s="24"/>
      <c r="J439" s="24"/>
      <c r="K439" s="39">
        <f>SUMIF('Composição dos serv'!A:A,B439,'Composição dos serv'!K:K)</f>
        <v>0.44000000000000006</v>
      </c>
      <c r="L439" s="40">
        <f t="shared" si="112"/>
        <v>0</v>
      </c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spans="1:23" ht="14.25" customHeight="1">
      <c r="A440" s="26" t="str">
        <f>A438</f>
        <v>F04.6</v>
      </c>
      <c r="B440" s="26" t="s">
        <v>191</v>
      </c>
      <c r="C440" s="37" t="str">
        <f>VLOOKUP(B440,'Composição dos serv'!A:I,3,FALSE)</f>
        <v>Aterro de Fossa com retirada de tampa</v>
      </c>
      <c r="D440" s="26" t="str">
        <f>VLOOKUP(B440,'Composição dos serv'!A:I,4,FALSE)</f>
        <v>un</v>
      </c>
      <c r="E440" s="37">
        <v>1</v>
      </c>
      <c r="F440" s="37">
        <f>ROUNDUP(E440*(0.4),2)</f>
        <v>0.4</v>
      </c>
      <c r="G440" s="38">
        <f>SUMIF('Composição dos serv'!A:A,'PESM Itutinga Piloes pt2'!B440,'Composição dos serv'!I:I)</f>
        <v>0</v>
      </c>
      <c r="H440" s="38">
        <f t="shared" si="117"/>
        <v>0</v>
      </c>
      <c r="I440" s="24"/>
      <c r="J440" s="24"/>
      <c r="K440" s="39">
        <f>SUMIF('Composição dos serv'!A:A,B440,'Composição dos serv'!K:K)</f>
        <v>0.85000000000000009</v>
      </c>
      <c r="L440" s="40">
        <f t="shared" si="112"/>
        <v>1</v>
      </c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spans="1:23" ht="14.25" customHeight="1">
      <c r="A441" s="33" t="str">
        <f>CONCATENATE(A415,".7")</f>
        <v>F04.7</v>
      </c>
      <c r="B441" s="33" t="s">
        <v>195</v>
      </c>
      <c r="C441" s="48" t="str">
        <f>VLOOKUP(B441,'Composição dos serv'!A:I,3,FALSE)</f>
        <v>ACABAMENTOS DIVERSOS e OUTROS</v>
      </c>
      <c r="D441" s="48"/>
      <c r="E441" s="48"/>
      <c r="F441" s="48"/>
      <c r="G441" s="48"/>
      <c r="H441" s="48"/>
      <c r="I441" s="24"/>
      <c r="J441" s="24"/>
      <c r="K441" s="39">
        <f>SUMIF('Composição dos serv'!A:A,B441,'Composição dos serv'!K:K)</f>
        <v>0</v>
      </c>
      <c r="L441" s="40">
        <f t="shared" si="112"/>
        <v>0</v>
      </c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:23" ht="14.25" customHeight="1">
      <c r="A442" s="26" t="str">
        <f>A441</f>
        <v>F04.7</v>
      </c>
      <c r="B442" s="50" t="s">
        <v>197</v>
      </c>
      <c r="C442" s="49" t="str">
        <f>VLOOKUP(B442,'Composição dos serv'!A:I,3,FALSE)</f>
        <v>Remoção de aparelhos sanitarios - por banheiro</v>
      </c>
      <c r="D442" s="50" t="str">
        <f>VLOOKUP(B442,'Composição dos serv'!A:I,4,FALSE)</f>
        <v>unid</v>
      </c>
      <c r="E442" s="49">
        <v>1</v>
      </c>
      <c r="F442" s="37">
        <f t="shared" ref="F442:F444" si="118">ROUNDUP(E442*1,2)</f>
        <v>1</v>
      </c>
      <c r="G442" s="51">
        <f>SUMIF('Composição dos serv'!A:A,B442,'Composição dos serv'!I:I)</f>
        <v>0</v>
      </c>
      <c r="H442" s="51">
        <f t="shared" ref="H442:H448" si="119">E442*G442</f>
        <v>0</v>
      </c>
      <c r="I442" s="24"/>
      <c r="J442" s="24"/>
      <c r="K442" s="39">
        <f>SUMIF('Composição dos serv'!A:A,B442,'Composição dos serv'!K:K)</f>
        <v>0.19</v>
      </c>
      <c r="L442" s="40">
        <f t="shared" si="112"/>
        <v>1</v>
      </c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spans="1:23" ht="14.25" customHeight="1">
      <c r="A443" s="26" t="str">
        <f>A441</f>
        <v>F04.7</v>
      </c>
      <c r="B443" s="50" t="s">
        <v>209</v>
      </c>
      <c r="C443" s="37" t="str">
        <f>VLOOKUP(B443,'Composição dos serv'!A:I,3,FALSE)</f>
        <v>Remoção de aparelhos sanitarios - Cozinha e Área de Serviço</v>
      </c>
      <c r="D443" s="26" t="str">
        <f>VLOOKUP(B443,'Composição dos serv'!A:I,4,FALSE)</f>
        <v>unid</v>
      </c>
      <c r="E443" s="37">
        <v>1</v>
      </c>
      <c r="F443" s="37">
        <f t="shared" si="118"/>
        <v>1</v>
      </c>
      <c r="G443" s="51">
        <f>SUMIF('Composição dos serv'!A:A,B443,'Composição dos serv'!I:I)</f>
        <v>0</v>
      </c>
      <c r="H443" s="38">
        <f t="shared" si="119"/>
        <v>0</v>
      </c>
      <c r="I443" s="24"/>
      <c r="J443" s="24"/>
      <c r="K443" s="39">
        <f>SUMIF('Composição dos serv'!A:A,B443,'Composição dos serv'!K:K)</f>
        <v>0.21</v>
      </c>
      <c r="L443" s="40">
        <f t="shared" si="112"/>
        <v>1</v>
      </c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spans="1:23" ht="14.25" hidden="1" customHeight="1">
      <c r="A444" s="26" t="str">
        <f>A441</f>
        <v>F04.7</v>
      </c>
      <c r="B444" s="50" t="s">
        <v>215</v>
      </c>
      <c r="C444" s="37" t="str">
        <f>VLOOKUP(B444,'Composição dos serv'!A:I,3,FALSE)</f>
        <v>Remoção de caixa d'agua</v>
      </c>
      <c r="D444" s="26" t="str">
        <f>VLOOKUP(B444,'Composição dos serv'!A:I,4,FALSE)</f>
        <v>unid</v>
      </c>
      <c r="E444" s="37"/>
      <c r="F444" s="37">
        <f t="shared" si="118"/>
        <v>0</v>
      </c>
      <c r="G444" s="51">
        <f>SUMIF('Composição dos serv'!A:A,B444,'Composição dos serv'!I:I)</f>
        <v>0</v>
      </c>
      <c r="H444" s="38">
        <f t="shared" si="119"/>
        <v>0</v>
      </c>
      <c r="I444" s="24"/>
      <c r="J444" s="24"/>
      <c r="K444" s="39">
        <f>SUMIF('Composição dos serv'!A:A,B444,'Composição dos serv'!K:K)</f>
        <v>0.42000000000000004</v>
      </c>
      <c r="L444" s="40">
        <f t="shared" si="112"/>
        <v>0</v>
      </c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spans="1:23" ht="14.25" hidden="1" customHeight="1">
      <c r="A445" s="26" t="str">
        <f>A441</f>
        <v>F04.7</v>
      </c>
      <c r="B445" s="50" t="s">
        <v>219</v>
      </c>
      <c r="C445" s="37" t="str">
        <f>VLOOKUP(B445,'Composição dos serv'!A:I,3,FALSE)</f>
        <v>Remoção do Sistema de Para raios - área do telhado</v>
      </c>
      <c r="D445" s="26" t="str">
        <f>VLOOKUP(B445,'Composição dos serv'!A:I,4,FALSE)</f>
        <v>m²</v>
      </c>
      <c r="E445" s="37"/>
      <c r="F445" s="37">
        <f>ROUNDUP(E445/60,2)</f>
        <v>0</v>
      </c>
      <c r="G445" s="51">
        <f>SUMIF('Composição dos serv'!A:A,B445,'Composição dos serv'!I:I)</f>
        <v>0</v>
      </c>
      <c r="H445" s="38">
        <f t="shared" si="119"/>
        <v>0</v>
      </c>
      <c r="I445" s="24"/>
      <c r="J445" s="24"/>
      <c r="K445" s="39">
        <f>SUMIF('Composição dos serv'!A:A,B445,'Composição dos serv'!K:K)</f>
        <v>0.05</v>
      </c>
      <c r="L445" s="40">
        <f t="shared" si="112"/>
        <v>0</v>
      </c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spans="1:23" ht="14.25" customHeight="1">
      <c r="A446" s="26" t="str">
        <f>A441</f>
        <v>F04.7</v>
      </c>
      <c r="B446" s="50" t="s">
        <v>227</v>
      </c>
      <c r="C446" s="37" t="str">
        <f>VLOOKUP(B446,'Composição dos serv'!A:I,3,FALSE)</f>
        <v>Janelas</v>
      </c>
      <c r="D446" s="26" t="str">
        <f>VLOOKUP(B446,'Composição dos serv'!A:I,4,FALSE)</f>
        <v>un</v>
      </c>
      <c r="E446" s="37">
        <v>3</v>
      </c>
      <c r="F446" s="37">
        <f>ROUNDUP(E446*1.5*1.2*0.2,2)</f>
        <v>1.08</v>
      </c>
      <c r="G446" s="51">
        <f>SUMIF('Composição dos serv'!A:A,B446,'Composição dos serv'!I:I)</f>
        <v>0</v>
      </c>
      <c r="H446" s="38">
        <f t="shared" si="119"/>
        <v>0</v>
      </c>
      <c r="I446" s="24"/>
      <c r="J446" s="24"/>
      <c r="K446" s="39">
        <f>SUMIF('Composição dos serv'!A:A,B446,'Composição dos serv'!K:K)</f>
        <v>0</v>
      </c>
      <c r="L446" s="40">
        <f t="shared" si="112"/>
        <v>0</v>
      </c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spans="1:23" ht="14.25" customHeight="1">
      <c r="A447" s="26" t="str">
        <f>A441</f>
        <v>F04.7</v>
      </c>
      <c r="B447" s="50" t="s">
        <v>234</v>
      </c>
      <c r="C447" s="37" t="str">
        <f>VLOOKUP(B447,'Composição dos serv'!A:I,3,FALSE)</f>
        <v>Portas</v>
      </c>
      <c r="D447" s="26" t="str">
        <f>VLOOKUP(B447,'Composição dos serv'!A:I,4,FALSE)</f>
        <v>un</v>
      </c>
      <c r="E447" s="37">
        <v>1</v>
      </c>
      <c r="F447" s="37">
        <f>ROUNDUP(E447*2.1*0.9*0.2,2)</f>
        <v>0.38</v>
      </c>
      <c r="G447" s="51">
        <f>SUMIF('Composição dos serv'!A:A,B447,'Composição dos serv'!I:I)</f>
        <v>0</v>
      </c>
      <c r="H447" s="38">
        <f t="shared" si="119"/>
        <v>0</v>
      </c>
      <c r="I447" s="24"/>
      <c r="J447" s="24"/>
      <c r="K447" s="39">
        <f>SUMIF('Composição dos serv'!A:A,B447,'Composição dos serv'!K:K)</f>
        <v>0</v>
      </c>
      <c r="L447" s="40">
        <f t="shared" si="112"/>
        <v>0</v>
      </c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spans="1:23" ht="14.25" hidden="1" customHeight="1">
      <c r="A448" s="26" t="str">
        <f>A441</f>
        <v>F04.7</v>
      </c>
      <c r="B448" s="50" t="s">
        <v>236</v>
      </c>
      <c r="C448" s="37" t="str">
        <f>VLOOKUP(B448,'Composição dos serv'!A:I,3,FALSE)</f>
        <v>Guarda corpo de metal</v>
      </c>
      <c r="D448" s="26" t="str">
        <f>VLOOKUP(B448,'Composição dos serv'!A:I,4,FALSE)</f>
        <v>m</v>
      </c>
      <c r="E448" s="37"/>
      <c r="F448" s="37">
        <f>ROUNDUP(E448*1.7*0.05,2)</f>
        <v>0</v>
      </c>
      <c r="G448" s="51">
        <f>SUMIF('Composição dos serv'!A:A,B448,'Composição dos serv'!I:I)</f>
        <v>0</v>
      </c>
      <c r="H448" s="38">
        <f t="shared" si="119"/>
        <v>0</v>
      </c>
      <c r="I448" s="24"/>
      <c r="J448" s="24"/>
      <c r="K448" s="39">
        <f>SUMIF('Composição dos serv'!A:A,B448,'Composição dos serv'!K:K)</f>
        <v>0</v>
      </c>
      <c r="L448" s="40">
        <f t="shared" si="112"/>
        <v>0</v>
      </c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spans="1:23" ht="14.25" customHeight="1">
      <c r="A449" s="33" t="str">
        <f>CONCATENATE(A415,".8")</f>
        <v>F04.8</v>
      </c>
      <c r="B449" s="33" t="s">
        <v>240</v>
      </c>
      <c r="C449" s="48" t="str">
        <f>VLOOKUP(B449,'Composição dos serv'!A:I,3,FALSE)</f>
        <v>ENTULHO</v>
      </c>
      <c r="D449" s="48"/>
      <c r="E449" s="48"/>
      <c r="F449" s="48"/>
      <c r="G449" s="48"/>
      <c r="H449" s="48"/>
      <c r="I449" s="24"/>
      <c r="J449" s="24"/>
      <c r="K449" s="39">
        <f>SUMIF('Composição dos serv'!A:A,B449,'Composição dos serv'!K:K)</f>
        <v>0</v>
      </c>
      <c r="L449" s="40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spans="1:23" ht="14.25" hidden="1" customHeight="1">
      <c r="A450" s="26" t="str">
        <f>A449</f>
        <v>F04.8</v>
      </c>
      <c r="B450" s="50" t="s">
        <v>242</v>
      </c>
      <c r="C450" s="49" t="str">
        <f>VLOOKUP(B450,'Composição dos serv'!A:I,3,FALSE)</f>
        <v>Transporte e espalhamento Manual do entulho a ser reutilizado</v>
      </c>
      <c r="D450" s="50" t="s">
        <v>291</v>
      </c>
      <c r="E450" s="49"/>
      <c r="F450" s="52">
        <f>IF(E450=1,ROUNDUP((IF(E418&lt;&gt;"",F418,0)+IF(E419&lt;&gt;"",F419,0)+IF(E421&lt;&gt;"",F421,0)+IF(E422&lt;&gt;"",F422*0.34,0)+IF(E425&lt;&gt;"",F425*0.43,0)+IF(E428&lt;&gt;"",F428*0.8,0)+IF(E431&lt;&gt;"",F431*(0.78),0)+IF(E435&lt;&gt;"",F435*0.98,0)+IF(E437&lt;&gt;"",F437*0.91,0)+IF(E438&lt;&gt;"",F438*0.26,0)+IF(E439&lt;&gt;"",F439*0.24,0)+IF(E440&lt;&gt;"",F440,0)),2),0)</f>
        <v>0</v>
      </c>
      <c r="G450" s="51">
        <f>SUMIF('Composição dos serv'!A:A,B450,'Composição dos serv'!I:I)</f>
        <v>0</v>
      </c>
      <c r="H450" s="51">
        <f t="shared" ref="H450:H451" si="120">F450*G450</f>
        <v>0</v>
      </c>
      <c r="I450" s="24"/>
      <c r="J450" s="24"/>
      <c r="K450" s="39">
        <f>SUMIF('Composição dos serv'!A:A,B450,'Composição dos serv'!K:K)</f>
        <v>0.15000000000000002</v>
      </c>
      <c r="L450" s="40">
        <f t="shared" ref="L450:L453" si="121">ROUNDUP(K450*F450,0)</f>
        <v>0</v>
      </c>
      <c r="M450" s="45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spans="1:23" ht="14.25" hidden="1" customHeight="1">
      <c r="A451" s="26" t="str">
        <f>A449</f>
        <v>F04.8</v>
      </c>
      <c r="B451" s="50" t="s">
        <v>246</v>
      </c>
      <c r="C451" s="49" t="str">
        <f>VLOOKUP(B451,'Composição dos serv'!A:I,3,FALSE)</f>
        <v>Remoção e Transporte Mecanizado do entulho a ser reutilizado</v>
      </c>
      <c r="D451" s="50" t="s">
        <v>291</v>
      </c>
      <c r="E451" s="49"/>
      <c r="F451" s="52">
        <f>IF(E451=1,SUM(F418:F448)-H455,0)</f>
        <v>0</v>
      </c>
      <c r="G451" s="51">
        <f>SUMIF('Composição dos serv'!A:A,B451,'Composição dos serv'!I:I)</f>
        <v>0</v>
      </c>
      <c r="H451" s="51">
        <f t="shared" si="120"/>
        <v>0</v>
      </c>
      <c r="I451" s="24"/>
      <c r="J451" s="24"/>
      <c r="K451" s="39">
        <f>SUMIF('Composição dos serv'!A:A,B451,'Composição dos serv'!K:K)</f>
        <v>0.02</v>
      </c>
      <c r="L451" s="40">
        <f t="shared" si="121"/>
        <v>0</v>
      </c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spans="1:23" ht="14.25" customHeight="1">
      <c r="A452" s="26" t="str">
        <f>A449</f>
        <v>F04.8</v>
      </c>
      <c r="B452" s="50" t="s">
        <v>252</v>
      </c>
      <c r="C452" s="49" t="str">
        <f>VLOOKUP(B452,'Composição dos serv'!A:I,3,FALSE)</f>
        <v>Remoção do entulho com caçamba</v>
      </c>
      <c r="D452" s="50" t="s">
        <v>291</v>
      </c>
      <c r="E452" s="49">
        <v>1</v>
      </c>
      <c r="F452" s="52">
        <f>IF(E452=1,SUM(F418:F448),0)</f>
        <v>96.61999999999999</v>
      </c>
      <c r="G452" s="51">
        <f>SUMIF('Composição dos serv'!A:A,B452,'Composição dos serv'!I:I)</f>
        <v>0</v>
      </c>
      <c r="H452" s="51">
        <f>IF(E452&gt;1,"OPÇÃO ERRADA",F452*G452)+IF(G455=1,H455*G452,0)</f>
        <v>0</v>
      </c>
      <c r="I452" s="24"/>
      <c r="J452" s="24"/>
      <c r="K452" s="39">
        <f>SUMIF('Composição dos serv'!A:A,B452,'Composição dos serv'!K:K)</f>
        <v>0.02</v>
      </c>
      <c r="L452" s="40">
        <f t="shared" si="121"/>
        <v>2</v>
      </c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spans="1:23" hidden="1">
      <c r="A453" s="26" t="str">
        <f>A449</f>
        <v>F04.8</v>
      </c>
      <c r="B453" s="50" t="s">
        <v>256</v>
      </c>
      <c r="C453" s="49" t="str">
        <f>VLOOKUP(B453,'Composição dos serv'!A:I,3,FALSE)</f>
        <v>Remoção e Transporte Mecanizado do entulho para bota fora</v>
      </c>
      <c r="D453" s="50" t="s">
        <v>291</v>
      </c>
      <c r="E453" s="49"/>
      <c r="F453" s="52">
        <f>IF(E453=1,SUM(F418:F448),0)</f>
        <v>0</v>
      </c>
      <c r="G453" s="51">
        <f>SUMIF('Composição dos serv'!A:A,B453,'Composição dos serv'!I:I)</f>
        <v>0</v>
      </c>
      <c r="H453" s="51">
        <f>IF(E453&gt;1,"OPÇÃO ERRADA",F453*G453)+IF(G455=2,H455*G453,0)</f>
        <v>0</v>
      </c>
      <c r="I453" s="24"/>
      <c r="J453" s="24"/>
      <c r="K453" s="39">
        <f>SUMIF('Composição dos serv'!A:A,B453,'Composição dos serv'!K:K)</f>
        <v>7.9999999999999988E-2</v>
      </c>
      <c r="L453" s="40">
        <f t="shared" si="121"/>
        <v>0</v>
      </c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spans="1:23" ht="14.25" customHeight="1">
      <c r="A454" s="26" t="str">
        <f>A449</f>
        <v>F04.8</v>
      </c>
      <c r="B454" s="50" t="s">
        <v>264</v>
      </c>
      <c r="C454" s="49" t="str">
        <f>VLOOKUP(B454,'Composição dos serv'!A:I,3,FALSE)</f>
        <v>Remoção de telhas em cimento amianto</v>
      </c>
      <c r="D454" s="26" t="str">
        <f>VLOOKUP(B454,'Composição dos serv'!A:I,4,FALSE)</f>
        <v>m²</v>
      </c>
      <c r="E454" s="49">
        <f>SUM(E426:E427)</f>
        <v>76</v>
      </c>
      <c r="F454" s="52"/>
      <c r="G454" s="51">
        <f>SUMIF('Composição dos serv'!A:A,B454,'Composição dos serv'!I:I)</f>
        <v>0</v>
      </c>
      <c r="H454" s="51">
        <f>G454*E454</f>
        <v>0</v>
      </c>
      <c r="I454" s="24"/>
      <c r="J454" s="24"/>
      <c r="K454" s="39"/>
      <c r="L454" s="40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spans="1:23" ht="14.25" customHeight="1">
      <c r="A455" s="53"/>
      <c r="B455" s="53"/>
      <c r="C455" s="37" t="str">
        <f>IF(E452&lt;&gt;1,IF(E453&lt;&gt;1,IF(H455&lt;&gt;0,"Há Material não reutilizavel qual a destinação para ele?",""),""),"")</f>
        <v/>
      </c>
      <c r="D455" s="168" t="str">
        <f>IF(E452&lt;&gt;1,IF(E453&lt;&gt;1,IF(H455&lt;&gt;0,"Caçamba = 1; Aterro = 2",""),""),"")</f>
        <v/>
      </c>
      <c r="E455" s="169"/>
      <c r="F455" s="170"/>
      <c r="G455" s="37">
        <v>1</v>
      </c>
      <c r="H455" s="54">
        <f>IF(E452=1,0,IF(E453=1,0,ROUNDUP((IF(E422&lt;&gt;"",F422*0.66,0)+IF(E425&lt;&gt;"",F425*0.57,0)+IF(E427&lt;&gt;"",F427,0)+IF(E428&lt;&gt;"",F428*0.2,0)+IF(E429&lt;&gt;"",F429,0)+IF(E431&lt;&gt;"",F431*0.22,0)+IF(E432&lt;&gt;"",F432,0)+IF(E433&lt;&gt;"",F433,0)+IF(E435&lt;&gt;"",F435*0.02,0)+IF(E437&lt;&gt;"",F437*0.09,0)+IF(E438&lt;&gt;"",F438*0.74,0)+IF(E439&lt;&gt;"",F439*(1-0.24),0)+IF(E442&lt;&gt;"",F442,0)+IF(E443&lt;&gt;"",F443,0)+IF(E444&lt;&gt;"",F444,0)+IF(E445&lt;&gt;"",F445,0)+IF(E446&lt;&gt;"",F446,0)+IF(E447&lt;&gt;"",F447,0)+IF(E448&lt;&gt;"",F448,0)+IF(E426&lt;&gt;"",F426,0)+IF(E424&lt;&gt;"",F424,0)),2)))</f>
        <v>0</v>
      </c>
      <c r="I455" s="24"/>
      <c r="J455" s="24"/>
      <c r="K455" s="39"/>
      <c r="L455" s="40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spans="1:23" ht="6" hidden="1" customHeight="1">
      <c r="I456" s="24"/>
      <c r="J456" s="24"/>
      <c r="K456" s="39">
        <f>SUMIF('Composição dos serv'!A:A,'PESM Itutinga Piloes pt2'!B456,'Composição dos serv'!K:K)</f>
        <v>0</v>
      </c>
      <c r="L456" s="40">
        <f>ROUNDUP(K456*E456,0)</f>
        <v>0</v>
      </c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spans="1:23" ht="14.25" customHeight="1">
      <c r="A457" s="46" t="str">
        <f>A415</f>
        <v>F04</v>
      </c>
      <c r="B457" s="183" t="str">
        <f>C415</f>
        <v>EDIFICAÇÃO 25 - Gleba F04</v>
      </c>
      <c r="C457" s="169"/>
      <c r="D457" s="184" t="s">
        <v>280</v>
      </c>
      <c r="E457" s="169"/>
      <c r="F457" s="169"/>
      <c r="G457" s="55">
        <f>SUM(H418:H454)</f>
        <v>0</v>
      </c>
      <c r="H457" s="56"/>
      <c r="I457" s="24"/>
      <c r="J457" s="24"/>
      <c r="K457" s="39">
        <f>IF(SUM(L450:L453)&gt;SUM(L418:L448),SUM(L450:L453),SUM(L418:L448))</f>
        <v>28</v>
      </c>
      <c r="L457" s="40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spans="1:23" ht="9.75" customHeight="1">
      <c r="A458" s="66"/>
      <c r="B458" s="53"/>
      <c r="D458" s="53"/>
      <c r="G458" s="67"/>
      <c r="H458" s="67"/>
      <c r="I458" s="24"/>
      <c r="J458" s="24"/>
      <c r="K458" s="39">
        <f>SUMIF('Composição dos serv'!A:A,'PESM Itutinga Piloes pt2'!B458,'Composição dos serv'!K:K)</f>
        <v>0</v>
      </c>
      <c r="L458" s="40">
        <f t="shared" ref="L458:L460" si="122">ROUNDUP(K458*E458,0)</f>
        <v>0</v>
      </c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spans="1:23" ht="19.5" customHeight="1">
      <c r="A459" s="92" t="s">
        <v>349</v>
      </c>
      <c r="B459" s="92">
        <v>2</v>
      </c>
      <c r="C459" s="93" t="s">
        <v>350</v>
      </c>
      <c r="D459" s="93"/>
      <c r="E459" s="93"/>
      <c r="F459" s="93"/>
      <c r="G459" s="93"/>
      <c r="H459" s="93"/>
      <c r="I459" s="24"/>
      <c r="J459" s="24"/>
      <c r="K459" s="39">
        <f>SUMIF('Composição dos serv'!A:A,'PESM Itutinga Piloes pt2'!B459,'Composição dos serv'!K:K)</f>
        <v>0</v>
      </c>
      <c r="L459" s="40">
        <f t="shared" si="122"/>
        <v>0</v>
      </c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spans="1:23" ht="6" hidden="1" customHeight="1">
      <c r="A460" s="26"/>
      <c r="B460" s="66"/>
      <c r="C460" s="66"/>
      <c r="D460" s="66"/>
      <c r="E460" s="66"/>
      <c r="F460" s="66"/>
      <c r="G460" s="66"/>
      <c r="H460" s="66"/>
      <c r="I460" s="24"/>
      <c r="J460" s="24"/>
      <c r="K460" s="39">
        <f>SUMIF('Composição dos serv'!A:A,'PESM Itutinga Piloes pt2'!B460,'Composição dos serv'!K:K)</f>
        <v>0</v>
      </c>
      <c r="L460" s="40">
        <f t="shared" si="122"/>
        <v>0</v>
      </c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spans="1:23" ht="14.25" customHeight="1">
      <c r="A461" s="33" t="str">
        <f>CONCATENATE(A459,".1")</f>
        <v>F05.1</v>
      </c>
      <c r="B461" s="33" t="s">
        <v>67</v>
      </c>
      <c r="C461" s="48" t="str">
        <f>VLOOKUP(B461,'Composição dos serv'!A:I,3,FALSE)</f>
        <v>DEMOLIÇÃO DE CALÇADAS E/OU CAMINHOS</v>
      </c>
      <c r="D461" s="48"/>
      <c r="E461" s="48"/>
      <c r="F461" s="48"/>
      <c r="G461" s="48"/>
      <c r="H461" s="48"/>
      <c r="I461" s="24"/>
      <c r="J461" s="24"/>
      <c r="K461" s="31"/>
      <c r="L461" s="32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spans="1:23" ht="14.25" hidden="1" customHeight="1">
      <c r="A462" s="26" t="str">
        <f>A461</f>
        <v>F05.1</v>
      </c>
      <c r="B462" s="26" t="s">
        <v>69</v>
      </c>
      <c r="C462" s="49" t="str">
        <f>VLOOKUP(B462,'Composição dos serv'!A:I,3,FALSE)</f>
        <v>Demolição de calçada ou caminhos</v>
      </c>
      <c r="D462" s="50" t="str">
        <f>VLOOKUP(B462,'Composição dos serv'!A:I,4,FALSE)</f>
        <v>m²</v>
      </c>
      <c r="E462" s="49"/>
      <c r="F462" s="49">
        <f>ROUNDUP(E462*0.15,2)</f>
        <v>0</v>
      </c>
      <c r="G462" s="51">
        <f>SUMIF('Composição dos serv'!A:A,'PESM Itutinga Piloes pt2'!B462,'Composição dos serv'!I:I)</f>
        <v>0</v>
      </c>
      <c r="H462" s="51">
        <f t="shared" ref="H462:H463" si="123">E462*G462</f>
        <v>0</v>
      </c>
      <c r="I462" s="24"/>
      <c r="J462" s="24"/>
      <c r="K462" s="39">
        <f>SUMIF('Composição dos serv'!A:A,B462,'Composição dos serv'!K:K)</f>
        <v>0.12</v>
      </c>
      <c r="L462" s="40">
        <f t="shared" ref="L462:L492" si="124">ROUNDUP(K462*E462,0)</f>
        <v>0</v>
      </c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spans="1:23" ht="14.25" hidden="1" customHeight="1">
      <c r="A463" s="26" t="str">
        <f>A461</f>
        <v>F05.1</v>
      </c>
      <c r="B463" s="26" t="s">
        <v>75</v>
      </c>
      <c r="C463" s="37" t="str">
        <f>VLOOKUP(B463,'Composição dos serv'!A:I,3,FALSE)</f>
        <v>Demolição de via Asfaltada, em paralelepípedo ou intertravados</v>
      </c>
      <c r="D463" s="26" t="str">
        <f>VLOOKUP(B463,'Composição dos serv'!A:I,4,FALSE)</f>
        <v>m²</v>
      </c>
      <c r="E463" s="37"/>
      <c r="F463" s="37">
        <f>ROUNDUP(E463*0.2,2)</f>
        <v>0</v>
      </c>
      <c r="G463" s="38">
        <f>SUMIF('Composição dos serv'!A:A,'PESM Itutinga Piloes pt2'!B463,'Composição dos serv'!I:I)</f>
        <v>0</v>
      </c>
      <c r="H463" s="38">
        <f t="shared" si="123"/>
        <v>0</v>
      </c>
      <c r="I463" s="24"/>
      <c r="J463" s="24"/>
      <c r="K463" s="39">
        <f>SUMIF('Composição dos serv'!A:A,B463,'Composição dos serv'!K:K)</f>
        <v>0.06</v>
      </c>
      <c r="L463" s="40">
        <f t="shared" si="124"/>
        <v>0</v>
      </c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spans="1:23" ht="14.25" customHeight="1">
      <c r="A464" s="33" t="str">
        <f>CONCATENATE(A459,".2")</f>
        <v>F05.2</v>
      </c>
      <c r="B464" s="33" t="s">
        <v>85</v>
      </c>
      <c r="C464" s="34" t="str">
        <f>VLOOKUP(B464,'Composição dos serv'!A:I,3,FALSE)</f>
        <v>DEMOLIÇÃO DE MUROS E CERCAS</v>
      </c>
      <c r="D464" s="35"/>
      <c r="E464" s="35"/>
      <c r="F464" s="35"/>
      <c r="G464" s="35"/>
      <c r="H464" s="36"/>
      <c r="I464" s="24"/>
      <c r="J464" s="24"/>
      <c r="K464" s="39">
        <f>SUMIF('Composição dos serv'!A:A,B464,'Composição dos serv'!K:K)</f>
        <v>0</v>
      </c>
      <c r="L464" s="40">
        <f t="shared" si="124"/>
        <v>0</v>
      </c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spans="1:23" ht="14.25" hidden="1" customHeight="1">
      <c r="A465" s="26" t="str">
        <f>A464</f>
        <v>F05.2</v>
      </c>
      <c r="B465" s="26" t="s">
        <v>87</v>
      </c>
      <c r="C465" s="37" t="str">
        <f>VLOOKUP(B465,'Composição dos serv'!A:I,3,FALSE)</f>
        <v>Demolição de muro em alvenaria ou alambrados</v>
      </c>
      <c r="D465" s="26" t="str">
        <f>VLOOKUP(B465,'Composição dos serv'!A:I,4,FALSE)</f>
        <v>m</v>
      </c>
      <c r="E465" s="37"/>
      <c r="F465" s="37">
        <f>ROUNDUP(E465*0.2*2.4,2)</f>
        <v>0</v>
      </c>
      <c r="G465" s="38">
        <f>SUMIF('Composição dos serv'!A:A,'PESM Itutinga Piloes pt2'!B465,'Composição dos serv'!I:I)</f>
        <v>0</v>
      </c>
      <c r="H465" s="38">
        <f t="shared" ref="H465:H466" si="125">E465*G465</f>
        <v>0</v>
      </c>
      <c r="I465" s="24"/>
      <c r="J465" s="24"/>
      <c r="K465" s="39">
        <f>SUMIF('Composição dos serv'!A:A,B465,'Composição dos serv'!K:K)</f>
        <v>0.26</v>
      </c>
      <c r="L465" s="40">
        <f t="shared" si="124"/>
        <v>0</v>
      </c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spans="1:23" ht="14.25" hidden="1" customHeight="1">
      <c r="A466" s="26" t="str">
        <f>A464</f>
        <v>F05.2</v>
      </c>
      <c r="B466" s="26" t="s">
        <v>93</v>
      </c>
      <c r="C466" s="37" t="str">
        <f>VLOOKUP(B466,'Composição dos serv'!A:I,3,FALSE)</f>
        <v>Demolição de Cercas</v>
      </c>
      <c r="D466" s="26" t="str">
        <f>VLOOKUP(B466,'Composição dos serv'!A:I,4,FALSE)</f>
        <v>m</v>
      </c>
      <c r="E466" s="37"/>
      <c r="F466" s="37">
        <f>ROUNDUP(E466*0.1*1.8,2)</f>
        <v>0</v>
      </c>
      <c r="G466" s="38">
        <f>SUMIF('Composição dos serv'!A:A,'PESM Itutinga Piloes pt2'!B466,'Composição dos serv'!I:I)</f>
        <v>0</v>
      </c>
      <c r="H466" s="38">
        <f t="shared" si="125"/>
        <v>0</v>
      </c>
      <c r="I466" s="24"/>
      <c r="J466" s="24"/>
      <c r="K466" s="39">
        <f>SUMIF('Composição dos serv'!A:A,B466,'Composição dos serv'!K:K)</f>
        <v>0.06</v>
      </c>
      <c r="L466" s="40">
        <f t="shared" si="124"/>
        <v>0</v>
      </c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spans="1:23" ht="14.25" customHeight="1">
      <c r="A467" s="33" t="str">
        <f>CONCATENATE(A459,".3")</f>
        <v>F05.3</v>
      </c>
      <c r="B467" s="33" t="s">
        <v>99</v>
      </c>
      <c r="C467" s="48" t="str">
        <f>VLOOKUP(B467,'Composição dos serv'!A:I,3,FALSE)</f>
        <v>COBERTURA</v>
      </c>
      <c r="D467" s="48"/>
      <c r="E467" s="48"/>
      <c r="F467" s="48"/>
      <c r="G467" s="48"/>
      <c r="H467" s="48"/>
      <c r="I467" s="24"/>
      <c r="J467" s="24"/>
      <c r="K467" s="39">
        <f>SUMIF('Composição dos serv'!A:A,B467,'Composição dos serv'!K:K)</f>
        <v>0</v>
      </c>
      <c r="L467" s="40">
        <f t="shared" si="124"/>
        <v>0</v>
      </c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spans="1:23" ht="14.25" hidden="1" customHeight="1">
      <c r="A468" s="26" t="str">
        <f t="shared" ref="A468:A473" si="126">A467</f>
        <v>F05.3</v>
      </c>
      <c r="B468" s="26" t="s">
        <v>101</v>
      </c>
      <c r="C468" s="37" t="str">
        <f>VLOOKUP(B468,'Composição dos serv'!A:I,3,FALSE)</f>
        <v>Retirada de Estrutura de madeira sem telhas</v>
      </c>
      <c r="D468" s="26" t="str">
        <f>VLOOKUP(B468,'Composição dos serv'!A:I,4,FALSE)</f>
        <v>m²</v>
      </c>
      <c r="E468" s="37"/>
      <c r="F468" s="37">
        <f>ROUNDUP(E468*0.2,2)</f>
        <v>0</v>
      </c>
      <c r="G468" s="38">
        <f>SUMIF('Composição dos serv'!A:A,'PESM Itutinga Piloes pt2'!B468,'Composição dos serv'!I:I)</f>
        <v>0</v>
      </c>
      <c r="H468" s="38">
        <f t="shared" ref="H468:H473" si="127">E468*G468</f>
        <v>0</v>
      </c>
      <c r="I468" s="24"/>
      <c r="J468" s="24"/>
      <c r="K468" s="39">
        <f>SUMIF('Composição dos serv'!A:A,B468,'Composição dos serv'!K:K)</f>
        <v>0.03</v>
      </c>
      <c r="L468" s="40">
        <f t="shared" si="124"/>
        <v>0</v>
      </c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spans="1:23" ht="14.25" customHeight="1">
      <c r="A469" s="26" t="str">
        <f t="shared" si="126"/>
        <v>F05.3</v>
      </c>
      <c r="B469" s="26" t="s">
        <v>105</v>
      </c>
      <c r="C469" s="37" t="str">
        <f>VLOOKUP(B469,'Composição dos serv'!A:I,3,FALSE)</f>
        <v>Retirada de Telhas de Barro com Estrutura em madeira (tesouras, treliças,...)</v>
      </c>
      <c r="D469" s="26" t="str">
        <f>VLOOKUP(B469,'Composição dos serv'!A:I,4,FALSE)</f>
        <v>m²</v>
      </c>
      <c r="E469" s="37">
        <v>140</v>
      </c>
      <c r="F469" s="37">
        <f>ROUNDUP(E469*0.08+E469*0.2,2)</f>
        <v>39.200000000000003</v>
      </c>
      <c r="G469" s="38">
        <f>SUMIF('Composição dos serv'!A:A,'PESM Itutinga Piloes pt2'!B469,'Composição dos serv'!I:I)</f>
        <v>0</v>
      </c>
      <c r="H469" s="38">
        <f t="shared" si="127"/>
        <v>0</v>
      </c>
      <c r="I469" s="24"/>
      <c r="J469" s="24"/>
      <c r="K469" s="39">
        <f>SUMIF('Composição dos serv'!A:A,B469,'Composição dos serv'!K:K)</f>
        <v>0.06</v>
      </c>
      <c r="L469" s="40">
        <f t="shared" si="124"/>
        <v>9</v>
      </c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spans="1:23" ht="14.25" hidden="1" customHeight="1">
      <c r="A470" s="26" t="str">
        <f t="shared" si="126"/>
        <v>F05.3</v>
      </c>
      <c r="B470" s="26" t="s">
        <v>111</v>
      </c>
      <c r="C470" s="37" t="str">
        <f>VLOOKUP(B470,'Composição dos serv'!A:I,3,FALSE)</f>
        <v>Retirada de Telhas de amianto Sem Estrutura</v>
      </c>
      <c r="D470" s="26" t="str">
        <f>VLOOKUP(B470,'Composição dos serv'!A:I,4,FALSE)</f>
        <v>m²</v>
      </c>
      <c r="E470" s="37"/>
      <c r="F470" s="37"/>
      <c r="G470" s="38">
        <f>SUMIF('Composição dos serv'!A:A,'PESM Itutinga Piloes pt2'!B470,'Composição dos serv'!I:I)</f>
        <v>0</v>
      </c>
      <c r="H470" s="38">
        <f t="shared" si="127"/>
        <v>0</v>
      </c>
      <c r="I470" s="24"/>
      <c r="J470" s="24"/>
      <c r="K470" s="39">
        <f>SUMIF('Composição dos serv'!A:A,B470,'Composição dos serv'!K:K)</f>
        <v>0.02</v>
      </c>
      <c r="L470" s="40">
        <f t="shared" si="124"/>
        <v>0</v>
      </c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:23" ht="14.25" hidden="1" customHeight="1">
      <c r="A471" s="26" t="str">
        <f t="shared" si="126"/>
        <v>F05.3</v>
      </c>
      <c r="B471" s="26" t="s">
        <v>117</v>
      </c>
      <c r="C471" s="37" t="str">
        <f>VLOOKUP(B471,'Composição dos serv'!A:I,3,FALSE)</f>
        <v>Retirada de Telhas de amianto com Estrutura em madeira (tesouras, treliças,...)</v>
      </c>
      <c r="D471" s="26" t="str">
        <f>VLOOKUP(B471,'Composição dos serv'!A:I,4,FALSE)</f>
        <v>m²</v>
      </c>
      <c r="E471" s="37"/>
      <c r="F471" s="37">
        <f>ROUNDUP(E471*0.1,2)</f>
        <v>0</v>
      </c>
      <c r="G471" s="38">
        <f>SUMIF('Composição dos serv'!A:A,'PESM Itutinga Piloes pt2'!B471,'Composição dos serv'!I:I)</f>
        <v>0</v>
      </c>
      <c r="H471" s="38">
        <f t="shared" si="127"/>
        <v>0</v>
      </c>
      <c r="I471" s="24"/>
      <c r="J471" s="24"/>
      <c r="K471" s="39">
        <f>SUMIF('Composição dos serv'!A:A,B471,'Composição dos serv'!K:K)</f>
        <v>0.04</v>
      </c>
      <c r="L471" s="40">
        <f t="shared" si="124"/>
        <v>0</v>
      </c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</row>
    <row r="472" spans="1:23" ht="14.25" hidden="1" customHeight="1">
      <c r="A472" s="26" t="str">
        <f t="shared" si="126"/>
        <v>F05.3</v>
      </c>
      <c r="B472" s="26" t="s">
        <v>121</v>
      </c>
      <c r="C472" s="37" t="str">
        <f>VLOOKUP(B472,'Composição dos serv'!A:I,3,FALSE)</f>
        <v>Retirada de Laje em concreto</v>
      </c>
      <c r="D472" s="26" t="str">
        <f>VLOOKUP(B472,'Composição dos serv'!A:I,4,FALSE)</f>
        <v>m²</v>
      </c>
      <c r="E472" s="37"/>
      <c r="F472" s="37">
        <f>ROUNDUP(E472*0.12,2)</f>
        <v>0</v>
      </c>
      <c r="G472" s="38">
        <f>SUMIF('Composição dos serv'!A:A,'PESM Itutinga Piloes pt2'!B472,'Composição dos serv'!I:I)</f>
        <v>0</v>
      </c>
      <c r="H472" s="38">
        <f t="shared" si="127"/>
        <v>0</v>
      </c>
      <c r="I472" s="24"/>
      <c r="J472" s="24"/>
      <c r="K472" s="39">
        <f>SUMIF('Composição dos serv'!A:A,B472,'Composição dos serv'!K:K)</f>
        <v>0.09</v>
      </c>
      <c r="L472" s="40">
        <f t="shared" si="124"/>
        <v>0</v>
      </c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</row>
    <row r="473" spans="1:23" ht="14.25" customHeight="1">
      <c r="A473" s="26" t="str">
        <f t="shared" si="126"/>
        <v>F05.3</v>
      </c>
      <c r="B473" s="26" t="s">
        <v>129</v>
      </c>
      <c r="C473" s="37" t="str">
        <f>VLOOKUP(B473,'Composição dos serv'!A:I,3,FALSE)</f>
        <v>Retirada de Forros qualquer com sistema de fixação</v>
      </c>
      <c r="D473" s="26" t="str">
        <f>VLOOKUP(B473,'Composição dos serv'!A:I,4,FALSE)</f>
        <v>m²</v>
      </c>
      <c r="E473" s="37">
        <v>120</v>
      </c>
      <c r="F473" s="37">
        <f>ROUNDUP(E473*0.1,2)</f>
        <v>12</v>
      </c>
      <c r="G473" s="38">
        <f>SUMIF('Composição dos serv'!A:A,'PESM Itutinga Piloes pt2'!B473,'Composição dos serv'!I:I)</f>
        <v>0</v>
      </c>
      <c r="H473" s="38">
        <f t="shared" si="127"/>
        <v>0</v>
      </c>
      <c r="I473" s="24"/>
      <c r="J473" s="24"/>
      <c r="K473" s="39">
        <f>SUMIF('Composição dos serv'!A:A,B473,'Composição dos serv'!K:K)</f>
        <v>0.04</v>
      </c>
      <c r="L473" s="40">
        <f t="shared" si="124"/>
        <v>5</v>
      </c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</row>
    <row r="474" spans="1:23" ht="14.25" customHeight="1">
      <c r="A474" s="33" t="str">
        <f>CONCATENATE(A459,".4")</f>
        <v>F05.4</v>
      </c>
      <c r="B474" s="33" t="s">
        <v>133</v>
      </c>
      <c r="C474" s="34" t="str">
        <f>VLOOKUP(B474,'Composição dos serv'!A:I,3,FALSE)</f>
        <v>PAREDES</v>
      </c>
      <c r="D474" s="35"/>
      <c r="E474" s="35"/>
      <c r="F474" s="35"/>
      <c r="G474" s="35"/>
      <c r="H474" s="36"/>
      <c r="I474" s="24"/>
      <c r="J474" s="24"/>
      <c r="K474" s="39">
        <f>SUMIF('Composição dos serv'!A:A,B474,'Composição dos serv'!K:K)</f>
        <v>0</v>
      </c>
      <c r="L474" s="40">
        <f t="shared" si="124"/>
        <v>0</v>
      </c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</row>
    <row r="475" spans="1:23" ht="14.25" customHeight="1">
      <c r="A475" s="26" t="str">
        <f>A474</f>
        <v>F05.4</v>
      </c>
      <c r="B475" s="26" t="s">
        <v>135</v>
      </c>
      <c r="C475" s="37" t="str">
        <f>VLOOKUP(B475,'Composição dos serv'!A:I,3,FALSE)</f>
        <v>Parede em Alvenaria - usar área construida</v>
      </c>
      <c r="D475" s="26" t="str">
        <f>VLOOKUP(B475,'Composição dos serv'!A:I,4,FALSE)</f>
        <v>m²</v>
      </c>
      <c r="E475" s="49">
        <v>20</v>
      </c>
      <c r="F475" s="37">
        <f>ROUNDUP(E475*0.8,2)</f>
        <v>16</v>
      </c>
      <c r="G475" s="38">
        <f>SUMIF('Composição dos serv'!A:A,B475,'Composição dos serv'!I:I)</f>
        <v>0</v>
      </c>
      <c r="H475" s="38">
        <f t="shared" ref="H475:H477" si="128">E475*G475</f>
        <v>0</v>
      </c>
      <c r="I475" s="24"/>
      <c r="J475" s="24"/>
      <c r="K475" s="39">
        <f>SUMIF('Composição dos serv'!A:A,B475,'Composição dos serv'!K:K)</f>
        <v>0.15000000000000002</v>
      </c>
      <c r="L475" s="40">
        <f t="shared" si="124"/>
        <v>3</v>
      </c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</row>
    <row r="476" spans="1:23" ht="14.25" customHeight="1">
      <c r="A476" s="26" t="str">
        <f>A474</f>
        <v>F05.4</v>
      </c>
      <c r="B476" s="26" t="s">
        <v>143</v>
      </c>
      <c r="C476" s="37" t="str">
        <f>VLOOKUP(B476,'Composição dos serv'!A:I,3,FALSE)</f>
        <v>Parede em Madeirite - Chapas de madeira compensada ou aglomerada - área construída</v>
      </c>
      <c r="D476" s="26" t="str">
        <f>VLOOKUP(B476,'Composição dos serv'!A:I,4,FALSE)</f>
        <v>m²</v>
      </c>
      <c r="E476" s="37">
        <v>120</v>
      </c>
      <c r="F476" s="37">
        <f>ROUNDUP(E476*0.21,2)</f>
        <v>25.2</v>
      </c>
      <c r="G476" s="38">
        <f>SUMIF('Composição dos serv'!A:A,B476,'Composição dos serv'!I:I)</f>
        <v>0</v>
      </c>
      <c r="H476" s="38">
        <f t="shared" si="128"/>
        <v>0</v>
      </c>
      <c r="I476" s="24"/>
      <c r="J476" s="24"/>
      <c r="K476" s="39">
        <f>SUMIF('Composição dos serv'!A:A,B476,'Composição dos serv'!K:K)</f>
        <v>0.15000000000000002</v>
      </c>
      <c r="L476" s="40">
        <f t="shared" si="124"/>
        <v>18</v>
      </c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spans="1:23" ht="14.25" hidden="1" customHeight="1">
      <c r="A477" s="26" t="str">
        <f>A474</f>
        <v>F05.4</v>
      </c>
      <c r="B477" s="26" t="s">
        <v>145</v>
      </c>
      <c r="C477" s="37" t="str">
        <f>VLOOKUP(B477,'Composição dos serv'!A:I,3,FALSE)</f>
        <v>Parede em Lambril de madeira - área construída</v>
      </c>
      <c r="D477" s="26" t="str">
        <f>VLOOKUP(B477,'Composição dos serv'!A:I,4,FALSE)</f>
        <v>m²</v>
      </c>
      <c r="E477" s="37"/>
      <c r="F477" s="37">
        <f>ROUNDUP(E477*4*0.12,2)</f>
        <v>0</v>
      </c>
      <c r="G477" s="38">
        <f>SUMIF('Composição dos serv'!A:A,B477,'Composição dos serv'!I:I)</f>
        <v>0</v>
      </c>
      <c r="H477" s="38">
        <f t="shared" si="128"/>
        <v>0</v>
      </c>
      <c r="I477" s="24"/>
      <c r="J477" s="24"/>
      <c r="K477" s="39">
        <f>SUMIF('Composição dos serv'!A:A,B477,'Composição dos serv'!K:K)</f>
        <v>0.35000000000000009</v>
      </c>
      <c r="L477" s="40">
        <f t="shared" si="124"/>
        <v>0</v>
      </c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</row>
    <row r="478" spans="1:23" ht="14.25" customHeight="1">
      <c r="A478" s="33" t="str">
        <f>CONCATENATE(A459,".5")</f>
        <v>F05.5</v>
      </c>
      <c r="B478" s="33" t="s">
        <v>153</v>
      </c>
      <c r="C478" s="34" t="str">
        <f>VLOOKUP(B478,'Composição dos serv'!A:I,3,FALSE)</f>
        <v>PISO E FUNDAÇÃO</v>
      </c>
      <c r="D478" s="35"/>
      <c r="E478" s="35"/>
      <c r="F478" s="35"/>
      <c r="G478" s="35"/>
      <c r="H478" s="36"/>
      <c r="I478" s="24"/>
      <c r="J478" s="24"/>
      <c r="K478" s="39">
        <f>SUMIF('Composição dos serv'!A:A,B478,'Composição dos serv'!K:K)</f>
        <v>0</v>
      </c>
      <c r="L478" s="40">
        <f t="shared" si="124"/>
        <v>0</v>
      </c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</row>
    <row r="479" spans="1:23" ht="14.25" customHeight="1">
      <c r="A479" s="26" t="str">
        <f>A478</f>
        <v>F05.5</v>
      </c>
      <c r="B479" s="26" t="s">
        <v>155</v>
      </c>
      <c r="C479" s="37" t="str">
        <f>VLOOKUP(B479,'Composição dos serv'!A:I,3,FALSE)</f>
        <v>Piso da edificação com fundação</v>
      </c>
      <c r="D479" s="26" t="str">
        <f>VLOOKUP(B479,'Composição dos serv'!A:I,4,FALSE)</f>
        <v>m²</v>
      </c>
      <c r="E479" s="37">
        <v>140</v>
      </c>
      <c r="F479" s="37">
        <f>ROUNDUP(E479*0.24,2)</f>
        <v>33.6</v>
      </c>
      <c r="G479" s="38">
        <f>SUMIF('Composição dos serv'!A:A,B479,'Composição dos serv'!I:I)</f>
        <v>0</v>
      </c>
      <c r="H479" s="38">
        <f>E479*G479</f>
        <v>0</v>
      </c>
      <c r="I479" s="24"/>
      <c r="J479" s="24"/>
      <c r="K479" s="39">
        <f>SUMIF('Composição dos serv'!A:A,B479,'Composição dos serv'!K:K)</f>
        <v>0.17</v>
      </c>
      <c r="L479" s="40">
        <f t="shared" si="124"/>
        <v>24</v>
      </c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</row>
    <row r="480" spans="1:23" ht="14.25" customHeight="1">
      <c r="A480" s="33" t="str">
        <f>CONCATENATE(A459,".6")</f>
        <v>F05.6</v>
      </c>
      <c r="B480" s="33" t="s">
        <v>161</v>
      </c>
      <c r="C480" s="48" t="str">
        <f>VLOOKUP(B480,'Composição dos serv'!A:I,3,FALSE)</f>
        <v>ESTRUTURAS DIVERSAS</v>
      </c>
      <c r="D480" s="48"/>
      <c r="E480" s="48"/>
      <c r="F480" s="48"/>
      <c r="G480" s="48"/>
      <c r="H480" s="48"/>
      <c r="I480" s="24"/>
      <c r="J480" s="24"/>
      <c r="K480" s="39">
        <f>SUMIF('Composição dos serv'!A:A,B480,'Composição dos serv'!K:K)</f>
        <v>0</v>
      </c>
      <c r="L480" s="40">
        <f t="shared" si="124"/>
        <v>0</v>
      </c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</row>
    <row r="481" spans="1:23" ht="14.25" hidden="1" customHeight="1">
      <c r="A481" s="26" t="str">
        <f>A480</f>
        <v>F05.6</v>
      </c>
      <c r="B481" s="26" t="s">
        <v>163</v>
      </c>
      <c r="C481" s="37" t="str">
        <f>VLOOKUP(B481,'Composição dos serv'!A:I,3,FALSE)</f>
        <v>Escada em concreto com corrimão</v>
      </c>
      <c r="D481" s="26" t="str">
        <f>VLOOKUP(B481,'Composição dos serv'!A:I,4,FALSE)</f>
        <v>m</v>
      </c>
      <c r="E481" s="49"/>
      <c r="F481" s="37">
        <f>ROUNDUP(E481*1.2*0.25,2)</f>
        <v>0</v>
      </c>
      <c r="G481" s="38">
        <f>SUMIF('Composição dos serv'!A:A,'PESM Itutinga Piloes pt2'!B481,'Composição dos serv'!I:I)</f>
        <v>0</v>
      </c>
      <c r="H481" s="38">
        <f t="shared" ref="H481:H484" si="129">E481*G481</f>
        <v>0</v>
      </c>
      <c r="I481" s="24"/>
      <c r="J481" s="24"/>
      <c r="K481" s="39">
        <f>SUMIF('Composição dos serv'!A:A,B481,'Composição dos serv'!K:K)</f>
        <v>0.39</v>
      </c>
      <c r="L481" s="40">
        <f t="shared" si="124"/>
        <v>0</v>
      </c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</row>
    <row r="482" spans="1:23" ht="14.25" customHeight="1">
      <c r="A482" s="26" t="str">
        <f>A480</f>
        <v>F05.6</v>
      </c>
      <c r="B482" s="26" t="s">
        <v>169</v>
      </c>
      <c r="C482" s="37" t="str">
        <f>VLOOKUP(B482,'Composição dos serv'!A:I,3,FALSE)</f>
        <v>Entrada de Energia - medidor</v>
      </c>
      <c r="D482" s="26" t="str">
        <f>VLOOKUP(B482,'Composição dos serv'!A:I,4,FALSE)</f>
        <v>un</v>
      </c>
      <c r="E482" s="37">
        <v>1</v>
      </c>
      <c r="F482" s="37">
        <f>ROUNDUP(E482*(3.2+(((3.1415*0.4^2)/4)*6)),2)</f>
        <v>3.96</v>
      </c>
      <c r="G482" s="38">
        <f>SUMIF('Composição dos serv'!A:A,'PESM Itutinga Piloes pt2'!B482,'Composição dos serv'!I:I)</f>
        <v>0</v>
      </c>
      <c r="H482" s="38">
        <f t="shared" si="129"/>
        <v>0</v>
      </c>
      <c r="I482" s="24"/>
      <c r="J482" s="24"/>
      <c r="K482" s="39">
        <f>SUMIF('Composição dos serv'!A:A,B482,'Composição dos serv'!K:K)</f>
        <v>1.7600000000000002</v>
      </c>
      <c r="L482" s="40">
        <f t="shared" si="124"/>
        <v>2</v>
      </c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</row>
    <row r="483" spans="1:23" ht="14.25" customHeight="1">
      <c r="A483" s="26" t="str">
        <f>A480</f>
        <v>F05.6</v>
      </c>
      <c r="B483" s="26" t="s">
        <v>183</v>
      </c>
      <c r="C483" s="37" t="str">
        <f>VLOOKUP(B483,'Composição dos serv'!A:I,3,FALSE)</f>
        <v>Hidrômetro com abrigo</v>
      </c>
      <c r="D483" s="26" t="str">
        <f>VLOOKUP(B483,'Composição dos serv'!A:I,4,FALSE)</f>
        <v>un</v>
      </c>
      <c r="E483" s="37">
        <v>1</v>
      </c>
      <c r="F483" s="37">
        <f>ROUNDUP(E483*(1.7+0.1),2)</f>
        <v>1.8</v>
      </c>
      <c r="G483" s="38">
        <f>SUMIF('Composição dos serv'!A:A,'PESM Itutinga Piloes pt2'!B483,'Composição dos serv'!I:I)</f>
        <v>0</v>
      </c>
      <c r="H483" s="38">
        <f t="shared" si="129"/>
        <v>0</v>
      </c>
      <c r="I483" s="24"/>
      <c r="J483" s="24"/>
      <c r="K483" s="39">
        <f>SUMIF('Composição dos serv'!A:A,B483,'Composição dos serv'!K:K)</f>
        <v>0.44000000000000006</v>
      </c>
      <c r="L483" s="40">
        <f t="shared" si="124"/>
        <v>1</v>
      </c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</row>
    <row r="484" spans="1:23" ht="14.25" customHeight="1">
      <c r="A484" s="26" t="str">
        <f>A482</f>
        <v>F05.6</v>
      </c>
      <c r="B484" s="26" t="s">
        <v>191</v>
      </c>
      <c r="C484" s="37" t="str">
        <f>VLOOKUP(B484,'Composição dos serv'!A:I,3,FALSE)</f>
        <v>Aterro de Fossa com retirada de tampa</v>
      </c>
      <c r="D484" s="26" t="str">
        <f>VLOOKUP(B484,'Composição dos serv'!A:I,4,FALSE)</f>
        <v>un</v>
      </c>
      <c r="E484" s="37">
        <v>1</v>
      </c>
      <c r="F484" s="37">
        <f>ROUNDUP(E484*(0.4),2)</f>
        <v>0.4</v>
      </c>
      <c r="G484" s="38">
        <f>SUMIF('Composição dos serv'!A:A,'PESM Itutinga Piloes pt2'!B484,'Composição dos serv'!I:I)</f>
        <v>0</v>
      </c>
      <c r="H484" s="38">
        <f t="shared" si="129"/>
        <v>0</v>
      </c>
      <c r="I484" s="24"/>
      <c r="J484" s="24"/>
      <c r="K484" s="39">
        <f>SUMIF('Composição dos serv'!A:A,B484,'Composição dos serv'!K:K)</f>
        <v>0.85000000000000009</v>
      </c>
      <c r="L484" s="40">
        <f t="shared" si="124"/>
        <v>1</v>
      </c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</row>
    <row r="485" spans="1:23" ht="14.25" customHeight="1">
      <c r="A485" s="33" t="str">
        <f>CONCATENATE(A459,".7")</f>
        <v>F05.7</v>
      </c>
      <c r="B485" s="33" t="s">
        <v>195</v>
      </c>
      <c r="C485" s="48" t="str">
        <f>VLOOKUP(B485,'Composição dos serv'!A:I,3,FALSE)</f>
        <v>ACABAMENTOS DIVERSOS e OUTROS</v>
      </c>
      <c r="D485" s="48"/>
      <c r="E485" s="48"/>
      <c r="F485" s="48"/>
      <c r="G485" s="48"/>
      <c r="H485" s="48"/>
      <c r="I485" s="24"/>
      <c r="J485" s="24"/>
      <c r="K485" s="39">
        <f>SUMIF('Composição dos serv'!A:A,B485,'Composição dos serv'!K:K)</f>
        <v>0</v>
      </c>
      <c r="L485" s="40">
        <f t="shared" si="124"/>
        <v>0</v>
      </c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</row>
    <row r="486" spans="1:23" ht="14.25" customHeight="1">
      <c r="A486" s="26" t="str">
        <f>A485</f>
        <v>F05.7</v>
      </c>
      <c r="B486" s="50" t="s">
        <v>197</v>
      </c>
      <c r="C486" s="49" t="str">
        <f>VLOOKUP(B486,'Composição dos serv'!A:I,3,FALSE)</f>
        <v>Remoção de aparelhos sanitarios - por banheiro</v>
      </c>
      <c r="D486" s="50" t="str">
        <f>VLOOKUP(B486,'Composição dos serv'!A:I,4,FALSE)</f>
        <v>unid</v>
      </c>
      <c r="E486" s="49">
        <v>1</v>
      </c>
      <c r="F486" s="37">
        <f t="shared" ref="F486:F488" si="130">ROUNDUP(E486*1,2)</f>
        <v>1</v>
      </c>
      <c r="G486" s="51">
        <f>SUMIF('Composição dos serv'!A:A,B486,'Composição dos serv'!I:I)</f>
        <v>0</v>
      </c>
      <c r="H486" s="51">
        <f t="shared" ref="H486:H492" si="131">E486*G486</f>
        <v>0</v>
      </c>
      <c r="I486" s="24"/>
      <c r="J486" s="24"/>
      <c r="K486" s="39">
        <f>SUMIF('Composição dos serv'!A:A,B486,'Composição dos serv'!K:K)</f>
        <v>0.19</v>
      </c>
      <c r="L486" s="40">
        <f t="shared" si="124"/>
        <v>1</v>
      </c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</row>
    <row r="487" spans="1:23" ht="14.25" customHeight="1">
      <c r="A487" s="26" t="str">
        <f>A485</f>
        <v>F05.7</v>
      </c>
      <c r="B487" s="50" t="s">
        <v>209</v>
      </c>
      <c r="C487" s="37" t="str">
        <f>VLOOKUP(B487,'Composição dos serv'!A:I,3,FALSE)</f>
        <v>Remoção de aparelhos sanitarios - Cozinha e Área de Serviço</v>
      </c>
      <c r="D487" s="26" t="str">
        <f>VLOOKUP(B487,'Composição dos serv'!A:I,4,FALSE)</f>
        <v>unid</v>
      </c>
      <c r="E487" s="37">
        <v>1</v>
      </c>
      <c r="F487" s="37">
        <f t="shared" si="130"/>
        <v>1</v>
      </c>
      <c r="G487" s="51">
        <f>SUMIF('Composição dos serv'!A:A,B487,'Composição dos serv'!I:I)</f>
        <v>0</v>
      </c>
      <c r="H487" s="38">
        <f t="shared" si="131"/>
        <v>0</v>
      </c>
      <c r="I487" s="24"/>
      <c r="J487" s="24"/>
      <c r="K487" s="39">
        <f>SUMIF('Composição dos serv'!A:A,B487,'Composição dos serv'!K:K)</f>
        <v>0.21</v>
      </c>
      <c r="L487" s="40">
        <f t="shared" si="124"/>
        <v>1</v>
      </c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</row>
    <row r="488" spans="1:23" ht="14.25" customHeight="1">
      <c r="A488" s="26" t="str">
        <f>A485</f>
        <v>F05.7</v>
      </c>
      <c r="B488" s="50" t="s">
        <v>215</v>
      </c>
      <c r="C488" s="37" t="str">
        <f>VLOOKUP(B488,'Composição dos serv'!A:I,3,FALSE)</f>
        <v>Remoção de caixa d'agua</v>
      </c>
      <c r="D488" s="26" t="str">
        <f>VLOOKUP(B488,'Composição dos serv'!A:I,4,FALSE)</f>
        <v>unid</v>
      </c>
      <c r="E488" s="37">
        <v>1</v>
      </c>
      <c r="F488" s="37">
        <f t="shared" si="130"/>
        <v>1</v>
      </c>
      <c r="G488" s="51">
        <f>SUMIF('Composição dos serv'!A:A,B488,'Composição dos serv'!I:I)</f>
        <v>0</v>
      </c>
      <c r="H488" s="38">
        <f t="shared" si="131"/>
        <v>0</v>
      </c>
      <c r="I488" s="24"/>
      <c r="J488" s="24"/>
      <c r="K488" s="39">
        <f>SUMIF('Composição dos serv'!A:A,B488,'Composição dos serv'!K:K)</f>
        <v>0.42000000000000004</v>
      </c>
      <c r="L488" s="40">
        <f t="shared" si="124"/>
        <v>1</v>
      </c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</row>
    <row r="489" spans="1:23" ht="14.25" hidden="1" customHeight="1">
      <c r="A489" s="26" t="str">
        <f>A485</f>
        <v>F05.7</v>
      </c>
      <c r="B489" s="50" t="s">
        <v>219</v>
      </c>
      <c r="C489" s="37" t="str">
        <f>VLOOKUP(B489,'Composição dos serv'!A:I,3,FALSE)</f>
        <v>Remoção do Sistema de Para raios - área do telhado</v>
      </c>
      <c r="D489" s="26" t="str">
        <f>VLOOKUP(B489,'Composição dos serv'!A:I,4,FALSE)</f>
        <v>m²</v>
      </c>
      <c r="E489" s="37"/>
      <c r="F489" s="37">
        <f>ROUNDUP(E489/60,2)</f>
        <v>0</v>
      </c>
      <c r="G489" s="51">
        <f>SUMIF('Composição dos serv'!A:A,B489,'Composição dos serv'!I:I)</f>
        <v>0</v>
      </c>
      <c r="H489" s="38">
        <f t="shared" si="131"/>
        <v>0</v>
      </c>
      <c r="I489" s="24"/>
      <c r="J489" s="24"/>
      <c r="K489" s="39">
        <f>SUMIF('Composição dos serv'!A:A,B489,'Composição dos serv'!K:K)</f>
        <v>0.05</v>
      </c>
      <c r="L489" s="40">
        <f t="shared" si="124"/>
        <v>0</v>
      </c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</row>
    <row r="490" spans="1:23" ht="14.25" customHeight="1">
      <c r="A490" s="26" t="str">
        <f>A485</f>
        <v>F05.7</v>
      </c>
      <c r="B490" s="50" t="s">
        <v>227</v>
      </c>
      <c r="C490" s="37" t="str">
        <f>VLOOKUP(B490,'Composição dos serv'!A:I,3,FALSE)</f>
        <v>Janelas</v>
      </c>
      <c r="D490" s="26" t="str">
        <f>VLOOKUP(B490,'Composição dos serv'!A:I,4,FALSE)</f>
        <v>un</v>
      </c>
      <c r="E490" s="37">
        <v>6</v>
      </c>
      <c r="F490" s="37">
        <f>ROUNDUP(E490*1.5*1.2*0.2,2)</f>
        <v>2.16</v>
      </c>
      <c r="G490" s="51">
        <f>SUMIF('Composição dos serv'!A:A,B490,'Composição dos serv'!I:I)</f>
        <v>0</v>
      </c>
      <c r="H490" s="38">
        <f t="shared" si="131"/>
        <v>0</v>
      </c>
      <c r="I490" s="24"/>
      <c r="J490" s="24"/>
      <c r="K490" s="39">
        <f>SUMIF('Composição dos serv'!A:A,B490,'Composição dos serv'!K:K)</f>
        <v>0</v>
      </c>
      <c r="L490" s="40">
        <f t="shared" si="124"/>
        <v>0</v>
      </c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</row>
    <row r="491" spans="1:23" ht="14.25" customHeight="1">
      <c r="A491" s="26" t="str">
        <f>A485</f>
        <v>F05.7</v>
      </c>
      <c r="B491" s="50" t="s">
        <v>234</v>
      </c>
      <c r="C491" s="37" t="str">
        <f>VLOOKUP(B491,'Composição dos serv'!A:I,3,FALSE)</f>
        <v>Portas</v>
      </c>
      <c r="D491" s="26" t="str">
        <f>VLOOKUP(B491,'Composição dos serv'!A:I,4,FALSE)</f>
        <v>un</v>
      </c>
      <c r="E491" s="37">
        <v>1</v>
      </c>
      <c r="F491" s="37">
        <f>ROUNDUP(E491*2.1*0.9*0.2,2)</f>
        <v>0.38</v>
      </c>
      <c r="G491" s="51">
        <f>SUMIF('Composição dos serv'!A:A,B491,'Composição dos serv'!I:I)</f>
        <v>0</v>
      </c>
      <c r="H491" s="38">
        <f t="shared" si="131"/>
        <v>0</v>
      </c>
      <c r="I491" s="24"/>
      <c r="J491" s="24"/>
      <c r="K491" s="39">
        <f>SUMIF('Composição dos serv'!A:A,B491,'Composição dos serv'!K:K)</f>
        <v>0</v>
      </c>
      <c r="L491" s="40">
        <f t="shared" si="124"/>
        <v>0</v>
      </c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</row>
    <row r="492" spans="1:23" ht="14.25" hidden="1" customHeight="1">
      <c r="A492" s="26" t="str">
        <f>A485</f>
        <v>F05.7</v>
      </c>
      <c r="B492" s="50" t="s">
        <v>236</v>
      </c>
      <c r="C492" s="37" t="str">
        <f>VLOOKUP(B492,'Composição dos serv'!A:I,3,FALSE)</f>
        <v>Guarda corpo de metal</v>
      </c>
      <c r="D492" s="26" t="str">
        <f>VLOOKUP(B492,'Composição dos serv'!A:I,4,FALSE)</f>
        <v>m</v>
      </c>
      <c r="E492" s="37"/>
      <c r="F492" s="37">
        <f>ROUNDUP(E492*1.7*0.05,2)</f>
        <v>0</v>
      </c>
      <c r="G492" s="51">
        <f>SUMIF('Composição dos serv'!A:A,B492,'Composição dos serv'!I:I)</f>
        <v>0</v>
      </c>
      <c r="H492" s="38">
        <f t="shared" si="131"/>
        <v>0</v>
      </c>
      <c r="I492" s="24"/>
      <c r="J492" s="24"/>
      <c r="K492" s="39">
        <f>SUMIF('Composição dos serv'!A:A,B492,'Composição dos serv'!K:K)</f>
        <v>0</v>
      </c>
      <c r="L492" s="40">
        <f t="shared" si="124"/>
        <v>0</v>
      </c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</row>
    <row r="493" spans="1:23" ht="14.25" customHeight="1">
      <c r="A493" s="33" t="str">
        <f>CONCATENATE(A459,".8")</f>
        <v>F05.8</v>
      </c>
      <c r="B493" s="33" t="s">
        <v>240</v>
      </c>
      <c r="C493" s="48" t="str">
        <f>VLOOKUP(B493,'Composição dos serv'!A:I,3,FALSE)</f>
        <v>ENTULHO</v>
      </c>
      <c r="D493" s="48"/>
      <c r="E493" s="48"/>
      <c r="F493" s="48"/>
      <c r="G493" s="48"/>
      <c r="H493" s="48"/>
      <c r="I493" s="24"/>
      <c r="J493" s="24"/>
      <c r="K493" s="39">
        <f>SUMIF('Composição dos serv'!A:A,B493,'Composição dos serv'!K:K)</f>
        <v>0</v>
      </c>
      <c r="L493" s="40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</row>
    <row r="494" spans="1:23" ht="14.25" hidden="1" customHeight="1">
      <c r="A494" s="26" t="str">
        <f>A493</f>
        <v>F05.8</v>
      </c>
      <c r="B494" s="50" t="s">
        <v>242</v>
      </c>
      <c r="C494" s="49" t="str">
        <f>VLOOKUP(B494,'Composição dos serv'!A:I,3,FALSE)</f>
        <v>Transporte e espalhamento Manual do entulho a ser reutilizado</v>
      </c>
      <c r="D494" s="50" t="s">
        <v>291</v>
      </c>
      <c r="E494" s="49"/>
      <c r="F494" s="52">
        <f>IF(E494=1,ROUNDUP((IF(E462&lt;&gt;"",F462,0)+IF(E463&lt;&gt;"",F463,0)+IF(E465&lt;&gt;"",F465,0)+IF(E466&lt;&gt;"",F466*0.34,0)+IF(E469&lt;&gt;"",F469*0.43,0)+IF(E472&lt;&gt;"",F472*0.8,0)+IF(E475&lt;&gt;"",F475*(0.78),0)+IF(E479&lt;&gt;"",F479*0.98,0)+IF(E481&lt;&gt;"",F481*0.91,0)+IF(E482&lt;&gt;"",F482*0.26,0)+IF(E483&lt;&gt;"",F483*0.24,0)+IF(E484&lt;&gt;"",F484,0)),2),0)</f>
        <v>0</v>
      </c>
      <c r="G494" s="51">
        <f>SUMIF('Composição dos serv'!A:A,B494,'Composição dos serv'!I:I)</f>
        <v>0</v>
      </c>
      <c r="H494" s="51">
        <f t="shared" ref="H494:H495" si="132">F494*G494</f>
        <v>0</v>
      </c>
      <c r="I494" s="24"/>
      <c r="J494" s="24"/>
      <c r="K494" s="39">
        <f>SUMIF('Composição dos serv'!A:A,B494,'Composição dos serv'!K:K)</f>
        <v>0.15000000000000002</v>
      </c>
      <c r="L494" s="40">
        <f t="shared" ref="L494:L497" si="133">ROUNDUP(K494*F494,0)</f>
        <v>0</v>
      </c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</row>
    <row r="495" spans="1:23" ht="14.25" hidden="1" customHeight="1">
      <c r="A495" s="26" t="str">
        <f>A493</f>
        <v>F05.8</v>
      </c>
      <c r="B495" s="50" t="s">
        <v>246</v>
      </c>
      <c r="C495" s="49" t="str">
        <f>VLOOKUP(B495,'Composição dos serv'!A:I,3,FALSE)</f>
        <v>Remoção e Transporte Mecanizado do entulho a ser reutilizado</v>
      </c>
      <c r="D495" s="50" t="s">
        <v>291</v>
      </c>
      <c r="E495" s="49"/>
      <c r="F495" s="52">
        <f>IF(E495=1,SUM(F462:F492)-H499,0)</f>
        <v>0</v>
      </c>
      <c r="G495" s="51">
        <f>SUMIF('Composição dos serv'!A:A,B495,'Composição dos serv'!I:I)</f>
        <v>0</v>
      </c>
      <c r="H495" s="51">
        <f t="shared" si="132"/>
        <v>0</v>
      </c>
      <c r="I495" s="24"/>
      <c r="J495" s="24"/>
      <c r="K495" s="39">
        <f>SUMIF('Composição dos serv'!A:A,B495,'Composição dos serv'!K:K)</f>
        <v>0.02</v>
      </c>
      <c r="L495" s="40">
        <f t="shared" si="133"/>
        <v>0</v>
      </c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</row>
    <row r="496" spans="1:23" ht="14.25" customHeight="1">
      <c r="A496" s="26" t="str">
        <f>A493</f>
        <v>F05.8</v>
      </c>
      <c r="B496" s="50" t="s">
        <v>252</v>
      </c>
      <c r="C496" s="49" t="str">
        <f>VLOOKUP(B496,'Composição dos serv'!A:I,3,FALSE)</f>
        <v>Remoção do entulho com caçamba</v>
      </c>
      <c r="D496" s="50" t="s">
        <v>291</v>
      </c>
      <c r="E496" s="49">
        <v>1</v>
      </c>
      <c r="F496" s="52">
        <f>IF(E496=1,SUM(F462:F492),0)</f>
        <v>137.70000000000002</v>
      </c>
      <c r="G496" s="51">
        <f>SUMIF('Composição dos serv'!A:A,B496,'Composição dos serv'!I:I)</f>
        <v>0</v>
      </c>
      <c r="H496" s="51">
        <f>IF(E496&gt;1,"OPÇÃO ERRADA",F496*G496)+IF(G499=1,H499*G496,0)</f>
        <v>0</v>
      </c>
      <c r="I496" s="24"/>
      <c r="J496" s="24"/>
      <c r="K496" s="39">
        <f>SUMIF('Composição dos serv'!A:A,B496,'Composição dos serv'!K:K)</f>
        <v>0.02</v>
      </c>
      <c r="L496" s="40">
        <f t="shared" si="133"/>
        <v>3</v>
      </c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</row>
    <row r="497" spans="1:26" ht="14.25" hidden="1" customHeight="1">
      <c r="A497" s="26" t="str">
        <f>A493</f>
        <v>F05.8</v>
      </c>
      <c r="B497" s="50" t="s">
        <v>256</v>
      </c>
      <c r="C497" s="49" t="str">
        <f>VLOOKUP(B497,'Composição dos serv'!A:I,3,FALSE)</f>
        <v>Remoção e Transporte Mecanizado do entulho para bota fora</v>
      </c>
      <c r="D497" s="50" t="s">
        <v>291</v>
      </c>
      <c r="E497" s="49"/>
      <c r="F497" s="52">
        <f>IF(E497=1,SUM(F462:F492),0)</f>
        <v>0</v>
      </c>
      <c r="G497" s="51">
        <f>SUMIF('Composição dos serv'!A:A,B497,'Composição dos serv'!I:I)</f>
        <v>0</v>
      </c>
      <c r="H497" s="51">
        <f>IF(E497&gt;1,"OPÇÃO ERRADA",F497*G497)+IF(G499=2,H499*G497,0)</f>
        <v>0</v>
      </c>
      <c r="I497" s="24"/>
      <c r="J497" s="24"/>
      <c r="K497" s="39">
        <f>SUMIF('Composição dos serv'!A:A,B497,'Composição dos serv'!K:K)</f>
        <v>7.9999999999999988E-2</v>
      </c>
      <c r="L497" s="40">
        <f t="shared" si="133"/>
        <v>0</v>
      </c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</row>
    <row r="498" spans="1:26" ht="14.25" hidden="1" customHeight="1">
      <c r="A498" s="26" t="str">
        <f>A493</f>
        <v>F05.8</v>
      </c>
      <c r="B498" s="50" t="s">
        <v>264</v>
      </c>
      <c r="C498" s="49" t="str">
        <f>VLOOKUP(B498,'Composição dos serv'!A:I,3,FALSE)</f>
        <v>Remoção de telhas em cimento amianto</v>
      </c>
      <c r="D498" s="26" t="str">
        <f>VLOOKUP(B498,'Composição dos serv'!A:I,4,FALSE)</f>
        <v>m²</v>
      </c>
      <c r="E498" s="49">
        <f>SUM(E470:E471)</f>
        <v>0</v>
      </c>
      <c r="F498" s="52"/>
      <c r="G498" s="51">
        <f>SUMIF('Composição dos serv'!A:A,B498,'Composição dos serv'!I:I)</f>
        <v>0</v>
      </c>
      <c r="H498" s="51">
        <f>G498*E498</f>
        <v>0</v>
      </c>
      <c r="I498" s="24"/>
      <c r="J498" s="24"/>
      <c r="K498" s="39"/>
      <c r="L498" s="40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</row>
    <row r="499" spans="1:26" ht="14.25" customHeight="1">
      <c r="A499" s="53"/>
      <c r="B499" s="53"/>
      <c r="C499" s="37" t="str">
        <f>IF(E496&lt;&gt;1,IF(E497&lt;&gt;1,IF(H499&lt;&gt;0,"Há Material não reutilizavel qual a destinação para ele?",""),""),"")</f>
        <v/>
      </c>
      <c r="D499" s="168" t="str">
        <f>IF(E496&lt;&gt;1,IF(E497&lt;&gt;1,IF(H499&lt;&gt;0,"Caçamba = 1; Aterro = 2",""),""),"")</f>
        <v/>
      </c>
      <c r="E499" s="169"/>
      <c r="F499" s="170"/>
      <c r="G499" s="37">
        <v>1</v>
      </c>
      <c r="H499" s="54">
        <f>IF(E496=1,0,IF(E497=1,0,ROUNDUP((IF(E466&lt;&gt;"",F466*0.66,0)+IF(E469&lt;&gt;"",F469*0.57,0)+IF(E471&lt;&gt;"",F471,0)+IF(E472&lt;&gt;"",F472*0.2,0)+IF(E473&lt;&gt;"",F473,0)+IF(E475&lt;&gt;"",F475*0.22,0)+IF(E476&lt;&gt;"",F476,0)+IF(E477&lt;&gt;"",F477,0)+IF(E479&lt;&gt;"",F479*0.02,0)+IF(E481&lt;&gt;"",F481*0.09,0)+IF(E482&lt;&gt;"",F482*0.74,0)+IF(E483&lt;&gt;"",F483*(1-0.24),0)+IF(E486&lt;&gt;"",F486,0)+IF(E487&lt;&gt;"",F487,0)+IF(E488&lt;&gt;"",F488,0)+IF(E489&lt;&gt;"",F489,0)+IF(E490&lt;&gt;"",F490,0)+IF(E491&lt;&gt;"",F491,0)+IF(E492&lt;&gt;"",F492,0)+IF(E470&lt;&gt;"",F470,0)+IF(E468&lt;&gt;"",F468,0)),2)))</f>
        <v>0</v>
      </c>
      <c r="I499" s="24"/>
      <c r="J499" s="24"/>
      <c r="K499" s="39"/>
      <c r="L499" s="40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</row>
    <row r="500" spans="1:26" ht="6" customHeight="1">
      <c r="I500" s="24"/>
      <c r="J500" s="24"/>
      <c r="K500" s="39">
        <f>SUMIF('Composição dos serv'!A:A,'PESM Itutinga Piloes pt2'!B500,'Composição dos serv'!K:K)</f>
        <v>0</v>
      </c>
      <c r="L500" s="40">
        <f>ROUNDUP(K500*E500,0)</f>
        <v>0</v>
      </c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</row>
    <row r="501" spans="1:26" ht="14.25" customHeight="1">
      <c r="A501" s="92" t="str">
        <f>A459</f>
        <v>F05</v>
      </c>
      <c r="B501" s="173" t="str">
        <f>C459</f>
        <v>EDIFICAÇÃO 26 - Gleba F05</v>
      </c>
      <c r="C501" s="169"/>
      <c r="D501" s="174" t="s">
        <v>280</v>
      </c>
      <c r="E501" s="169"/>
      <c r="F501" s="169"/>
      <c r="G501" s="94">
        <f>SUM(H462:H498)</f>
        <v>0</v>
      </c>
      <c r="H501" s="95"/>
      <c r="I501" s="24"/>
      <c r="J501" s="24"/>
      <c r="K501" s="39">
        <f>IF(SUM(L494:L497)&gt;SUM(L462:L492),SUM(L494:L497),SUM(L462:L492))</f>
        <v>66</v>
      </c>
      <c r="L501" s="40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</row>
    <row r="502" spans="1:26" ht="9.75" customHeight="1">
      <c r="A502" s="30"/>
      <c r="B502" s="44"/>
      <c r="C502" s="24"/>
      <c r="D502" s="44"/>
      <c r="E502" s="24"/>
      <c r="F502" s="24"/>
      <c r="G502" s="45"/>
      <c r="H502" s="45"/>
      <c r="I502" s="24"/>
      <c r="J502" s="24"/>
      <c r="K502" s="39">
        <f>SUMIF('Composição dos serv'!A:A,'PESM Itutinga Piloes pt2'!B502,'Composição dos serv'!K:K)</f>
        <v>0</v>
      </c>
      <c r="L502" s="40">
        <f t="shared" ref="L502:L504" si="134">ROUNDUP(K502*E502,0)</f>
        <v>0</v>
      </c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9.5" customHeight="1">
      <c r="A503" s="96" t="s">
        <v>351</v>
      </c>
      <c r="B503" s="96">
        <v>2</v>
      </c>
      <c r="C503" s="97" t="s">
        <v>352</v>
      </c>
      <c r="D503" s="97"/>
      <c r="E503" s="97"/>
      <c r="F503" s="97"/>
      <c r="G503" s="97"/>
      <c r="H503" s="97"/>
      <c r="I503" s="24"/>
      <c r="J503" s="24"/>
      <c r="K503" s="39">
        <f>SUMIF('Composição dos serv'!A:A,'PESM Itutinga Piloes pt2'!B503,'Composição dos serv'!K:K)</f>
        <v>0</v>
      </c>
      <c r="L503" s="40">
        <f t="shared" si="134"/>
        <v>0</v>
      </c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</row>
    <row r="504" spans="1:26" ht="6" customHeight="1">
      <c r="A504" s="59"/>
      <c r="B504" s="30"/>
      <c r="C504" s="30"/>
      <c r="D504" s="30"/>
      <c r="E504" s="30"/>
      <c r="F504" s="30"/>
      <c r="G504" s="30"/>
      <c r="H504" s="30"/>
      <c r="I504" s="24"/>
      <c r="J504" s="24"/>
      <c r="K504" s="39">
        <f>SUMIF('Composição dos serv'!A:A,'PESM Itutinga Piloes pt2'!B504,'Composição dos serv'!K:K)</f>
        <v>0</v>
      </c>
      <c r="L504" s="40">
        <f t="shared" si="134"/>
        <v>0</v>
      </c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4.25" customHeight="1">
      <c r="A505" s="33" t="str">
        <f>CONCATENATE(A503,".1")</f>
        <v>F06.1</v>
      </c>
      <c r="B505" s="33" t="s">
        <v>67</v>
      </c>
      <c r="C505" s="48" t="str">
        <f>VLOOKUP(B505,'Composição dos serv'!A:I,3,FALSE)</f>
        <v>DEMOLIÇÃO DE CALÇADAS E/OU CAMINHOS</v>
      </c>
      <c r="D505" s="48"/>
      <c r="E505" s="48"/>
      <c r="F505" s="48"/>
      <c r="G505" s="48"/>
      <c r="H505" s="48"/>
      <c r="I505" s="24"/>
      <c r="J505" s="24"/>
      <c r="K505" s="31"/>
      <c r="L505" s="32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</row>
    <row r="506" spans="1:26" ht="14.25" hidden="1" customHeight="1">
      <c r="A506" s="26" t="str">
        <f>A505</f>
        <v>F06.1</v>
      </c>
      <c r="B506" s="26" t="s">
        <v>69</v>
      </c>
      <c r="C506" s="49" t="str">
        <f>VLOOKUP(B506,'Composição dos serv'!A:I,3,FALSE)</f>
        <v>Demolição de calçada ou caminhos</v>
      </c>
      <c r="D506" s="50" t="str">
        <f>VLOOKUP(B506,'Composição dos serv'!A:I,4,FALSE)</f>
        <v>m²</v>
      </c>
      <c r="E506" s="49"/>
      <c r="F506" s="49">
        <f>ROUNDUP(E506*0.15,2)</f>
        <v>0</v>
      </c>
      <c r="G506" s="51">
        <f>SUMIF('Composição dos serv'!A:A,'PESM Itutinga Piloes pt2'!B506,'Composição dos serv'!I:I)</f>
        <v>0</v>
      </c>
      <c r="H506" s="51">
        <f t="shared" ref="H506:H507" si="135">E506*G506</f>
        <v>0</v>
      </c>
      <c r="I506" s="24"/>
      <c r="J506" s="24"/>
      <c r="K506" s="39">
        <f>SUMIF('Composição dos serv'!A:A,B506,'Composição dos serv'!K:K)</f>
        <v>0.12</v>
      </c>
      <c r="L506" s="40">
        <f t="shared" ref="L506:L536" si="136">ROUNDUP(K506*E506,0)</f>
        <v>0</v>
      </c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</row>
    <row r="507" spans="1:26" ht="14.25" hidden="1" customHeight="1">
      <c r="A507" s="26" t="str">
        <f>A505</f>
        <v>F06.1</v>
      </c>
      <c r="B507" s="26" t="s">
        <v>75</v>
      </c>
      <c r="C507" s="37" t="str">
        <f>VLOOKUP(B507,'Composição dos serv'!A:I,3,FALSE)</f>
        <v>Demolição de via Asfaltada, em paralelepípedo ou intertravados</v>
      </c>
      <c r="D507" s="26" t="str">
        <f>VLOOKUP(B507,'Composição dos serv'!A:I,4,FALSE)</f>
        <v>m²</v>
      </c>
      <c r="E507" s="37"/>
      <c r="F507" s="37">
        <f>ROUNDUP(E507*0.2,2)</f>
        <v>0</v>
      </c>
      <c r="G507" s="38">
        <f>SUMIF('Composição dos serv'!A:A,'PESM Itutinga Piloes pt2'!B507,'Composição dos serv'!I:I)</f>
        <v>0</v>
      </c>
      <c r="H507" s="38">
        <f t="shared" si="135"/>
        <v>0</v>
      </c>
      <c r="I507" s="24"/>
      <c r="J507" s="24"/>
      <c r="K507" s="39">
        <f>SUMIF('Composição dos serv'!A:A,B507,'Composição dos serv'!K:K)</f>
        <v>0.06</v>
      </c>
      <c r="L507" s="40">
        <f t="shared" si="136"/>
        <v>0</v>
      </c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</row>
    <row r="508" spans="1:26" ht="14.25" customHeight="1">
      <c r="A508" s="33" t="str">
        <f>CONCATENATE(A503,".2")</f>
        <v>F06.2</v>
      </c>
      <c r="B508" s="33" t="s">
        <v>85</v>
      </c>
      <c r="C508" s="34" t="str">
        <f>VLOOKUP(B508,'Composição dos serv'!A:I,3,FALSE)</f>
        <v>DEMOLIÇÃO DE MUROS E CERCAS</v>
      </c>
      <c r="D508" s="35"/>
      <c r="E508" s="35"/>
      <c r="F508" s="35"/>
      <c r="G508" s="35"/>
      <c r="H508" s="36"/>
      <c r="I508" s="24"/>
      <c r="J508" s="24"/>
      <c r="K508" s="39">
        <f>SUMIF('Composição dos serv'!A:A,B508,'Composição dos serv'!K:K)</f>
        <v>0</v>
      </c>
      <c r="L508" s="40">
        <f t="shared" si="136"/>
        <v>0</v>
      </c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</row>
    <row r="509" spans="1:26" ht="14.25" hidden="1" customHeight="1">
      <c r="A509" s="26" t="str">
        <f>A508</f>
        <v>F06.2</v>
      </c>
      <c r="B509" s="26" t="s">
        <v>87</v>
      </c>
      <c r="C509" s="37" t="str">
        <f>VLOOKUP(B509,'Composição dos serv'!A:I,3,FALSE)</f>
        <v>Demolição de muro em alvenaria ou alambrados</v>
      </c>
      <c r="D509" s="26" t="str">
        <f>VLOOKUP(B509,'Composição dos serv'!A:I,4,FALSE)</f>
        <v>m</v>
      </c>
      <c r="E509" s="37"/>
      <c r="F509" s="37">
        <f>ROUNDUP(E509*0.2*2.4,2)</f>
        <v>0</v>
      </c>
      <c r="G509" s="38">
        <f>SUMIF('Composição dos serv'!A:A,'PESM Itutinga Piloes pt2'!B509,'Composição dos serv'!I:I)</f>
        <v>0</v>
      </c>
      <c r="H509" s="38">
        <f t="shared" ref="H509:H510" si="137">E509*G509</f>
        <v>0</v>
      </c>
      <c r="I509" s="24"/>
      <c r="J509" s="24"/>
      <c r="K509" s="39">
        <f>SUMIF('Composição dos serv'!A:A,B509,'Composição dos serv'!K:K)</f>
        <v>0.26</v>
      </c>
      <c r="L509" s="40">
        <f t="shared" si="136"/>
        <v>0</v>
      </c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</row>
    <row r="510" spans="1:26" ht="14.25" hidden="1" customHeight="1">
      <c r="A510" s="26" t="str">
        <f>A508</f>
        <v>F06.2</v>
      </c>
      <c r="B510" s="26" t="s">
        <v>93</v>
      </c>
      <c r="C510" s="37" t="str">
        <f>VLOOKUP(B510,'Composição dos serv'!A:I,3,FALSE)</f>
        <v>Demolição de Cercas</v>
      </c>
      <c r="D510" s="26" t="str">
        <f>VLOOKUP(B510,'Composição dos serv'!A:I,4,FALSE)</f>
        <v>m</v>
      </c>
      <c r="E510" s="37"/>
      <c r="F510" s="37">
        <f>ROUNDUP(E510*0.1*1.8,2)</f>
        <v>0</v>
      </c>
      <c r="G510" s="38">
        <f>SUMIF('Composição dos serv'!A:A,'PESM Itutinga Piloes pt2'!B510,'Composição dos serv'!I:I)</f>
        <v>0</v>
      </c>
      <c r="H510" s="38">
        <f t="shared" si="137"/>
        <v>0</v>
      </c>
      <c r="I510" s="24"/>
      <c r="J510" s="24"/>
      <c r="K510" s="39">
        <f>SUMIF('Composição dos serv'!A:A,B510,'Composição dos serv'!K:K)</f>
        <v>0.06</v>
      </c>
      <c r="L510" s="40">
        <f t="shared" si="136"/>
        <v>0</v>
      </c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</row>
    <row r="511" spans="1:26" ht="14.25" customHeight="1">
      <c r="A511" s="33" t="str">
        <f>CONCATENATE(A503,".3")</f>
        <v>F06.3</v>
      </c>
      <c r="B511" s="33" t="s">
        <v>99</v>
      </c>
      <c r="C511" s="48" t="str">
        <f>VLOOKUP(B511,'Composição dos serv'!A:I,3,FALSE)</f>
        <v>COBERTURA</v>
      </c>
      <c r="D511" s="48"/>
      <c r="E511" s="48"/>
      <c r="F511" s="48"/>
      <c r="G511" s="48"/>
      <c r="H511" s="48"/>
      <c r="I511" s="24"/>
      <c r="J511" s="24"/>
      <c r="K511" s="39">
        <f>SUMIF('Composição dos serv'!A:A,B511,'Composição dos serv'!K:K)</f>
        <v>0</v>
      </c>
      <c r="L511" s="40">
        <f t="shared" si="136"/>
        <v>0</v>
      </c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</row>
    <row r="512" spans="1:26" ht="14.25" hidden="1" customHeight="1">
      <c r="A512" s="26" t="str">
        <f t="shared" ref="A512:A517" si="138">A511</f>
        <v>F06.3</v>
      </c>
      <c r="B512" s="26" t="s">
        <v>101</v>
      </c>
      <c r="C512" s="37" t="str">
        <f>VLOOKUP(B512,'Composição dos serv'!A:I,3,FALSE)</f>
        <v>Retirada de Estrutura de madeira sem telhas</v>
      </c>
      <c r="D512" s="26" t="str">
        <f>VLOOKUP(B512,'Composição dos serv'!A:I,4,FALSE)</f>
        <v>m²</v>
      </c>
      <c r="E512" s="37"/>
      <c r="F512" s="37">
        <f>ROUNDUP(E512*0.2,2)</f>
        <v>0</v>
      </c>
      <c r="G512" s="38">
        <f>SUMIF('Composição dos serv'!A:A,'PESM Itutinga Piloes pt2'!B512,'Composição dos serv'!I:I)</f>
        <v>0</v>
      </c>
      <c r="H512" s="38">
        <f t="shared" ref="H512:H517" si="139">E512*G512</f>
        <v>0</v>
      </c>
      <c r="I512" s="24"/>
      <c r="J512" s="24"/>
      <c r="K512" s="39">
        <f>SUMIF('Composição dos serv'!A:A,B512,'Composição dos serv'!K:K)</f>
        <v>0.03</v>
      </c>
      <c r="L512" s="40">
        <f t="shared" si="136"/>
        <v>0</v>
      </c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</row>
    <row r="513" spans="1:23" ht="14.25" customHeight="1">
      <c r="A513" s="26" t="str">
        <f t="shared" si="138"/>
        <v>F06.3</v>
      </c>
      <c r="B513" s="26" t="s">
        <v>105</v>
      </c>
      <c r="C513" s="37" t="str">
        <f>VLOOKUP(B513,'Composição dos serv'!A:I,3,FALSE)</f>
        <v>Retirada de Telhas de Barro com Estrutura em madeira (tesouras, treliças,...)</v>
      </c>
      <c r="D513" s="26" t="str">
        <f>VLOOKUP(B513,'Composição dos serv'!A:I,4,FALSE)</f>
        <v>m²</v>
      </c>
      <c r="E513" s="37">
        <v>140</v>
      </c>
      <c r="F513" s="37">
        <f>ROUNDUP(E513*0.08+E513*0.2,2)</f>
        <v>39.200000000000003</v>
      </c>
      <c r="G513" s="38">
        <f>SUMIF('Composição dos serv'!A:A,'PESM Itutinga Piloes pt2'!B513,'Composição dos serv'!I:I)</f>
        <v>0</v>
      </c>
      <c r="H513" s="38">
        <f t="shared" si="139"/>
        <v>0</v>
      </c>
      <c r="I513" s="24"/>
      <c r="J513" s="24"/>
      <c r="K513" s="39">
        <f>SUMIF('Composição dos serv'!A:A,B513,'Composição dos serv'!K:K)</f>
        <v>0.06</v>
      </c>
      <c r="L513" s="40">
        <f t="shared" si="136"/>
        <v>9</v>
      </c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</row>
    <row r="514" spans="1:23" ht="14.25" hidden="1" customHeight="1">
      <c r="A514" s="26" t="str">
        <f t="shared" si="138"/>
        <v>F06.3</v>
      </c>
      <c r="B514" s="26" t="s">
        <v>111</v>
      </c>
      <c r="C514" s="37" t="str">
        <f>VLOOKUP(B514,'Composição dos serv'!A:I,3,FALSE)</f>
        <v>Retirada de Telhas de amianto Sem Estrutura</v>
      </c>
      <c r="D514" s="26" t="str">
        <f>VLOOKUP(B514,'Composição dos serv'!A:I,4,FALSE)</f>
        <v>m²</v>
      </c>
      <c r="E514" s="37"/>
      <c r="F514" s="37"/>
      <c r="G514" s="38">
        <f>SUMIF('Composição dos serv'!A:A,'PESM Itutinga Piloes pt2'!B514,'Composição dos serv'!I:I)</f>
        <v>0</v>
      </c>
      <c r="H514" s="38">
        <f t="shared" si="139"/>
        <v>0</v>
      </c>
      <c r="I514" s="24"/>
      <c r="J514" s="24"/>
      <c r="K514" s="39">
        <f>SUMIF('Composição dos serv'!A:A,B514,'Composição dos serv'!K:K)</f>
        <v>0.02</v>
      </c>
      <c r="L514" s="40">
        <f t="shared" si="136"/>
        <v>0</v>
      </c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</row>
    <row r="515" spans="1:23" ht="14.25" hidden="1" customHeight="1">
      <c r="A515" s="26" t="str">
        <f t="shared" si="138"/>
        <v>F06.3</v>
      </c>
      <c r="B515" s="26" t="s">
        <v>117</v>
      </c>
      <c r="C515" s="37" t="str">
        <f>VLOOKUP(B515,'Composição dos serv'!A:I,3,FALSE)</f>
        <v>Retirada de Telhas de amianto com Estrutura em madeira (tesouras, treliças,...)</v>
      </c>
      <c r="D515" s="26" t="str">
        <f>VLOOKUP(B515,'Composição dos serv'!A:I,4,FALSE)</f>
        <v>m²</v>
      </c>
      <c r="E515" s="37"/>
      <c r="F515" s="37">
        <f>ROUNDUP(E515*0.1,2)</f>
        <v>0</v>
      </c>
      <c r="G515" s="38">
        <f>SUMIF('Composição dos serv'!A:A,'PESM Itutinga Piloes pt2'!B515,'Composição dos serv'!I:I)</f>
        <v>0</v>
      </c>
      <c r="H515" s="38">
        <f t="shared" si="139"/>
        <v>0</v>
      </c>
      <c r="I515" s="24"/>
      <c r="J515" s="24"/>
      <c r="K515" s="39">
        <f>SUMIF('Composição dos serv'!A:A,B515,'Composição dos serv'!K:K)</f>
        <v>0.04</v>
      </c>
      <c r="L515" s="40">
        <f t="shared" si="136"/>
        <v>0</v>
      </c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</row>
    <row r="516" spans="1:23" ht="14.25" hidden="1" customHeight="1">
      <c r="A516" s="26" t="str">
        <f t="shared" si="138"/>
        <v>F06.3</v>
      </c>
      <c r="B516" s="26" t="s">
        <v>121</v>
      </c>
      <c r="C516" s="37" t="str">
        <f>VLOOKUP(B516,'Composição dos serv'!A:I,3,FALSE)</f>
        <v>Retirada de Laje em concreto</v>
      </c>
      <c r="D516" s="26" t="str">
        <f>VLOOKUP(B516,'Composição dos serv'!A:I,4,FALSE)</f>
        <v>m²</v>
      </c>
      <c r="E516" s="37"/>
      <c r="F516" s="37">
        <f>ROUNDUP(E516*0.12,2)</f>
        <v>0</v>
      </c>
      <c r="G516" s="38">
        <f>SUMIF('Composição dos serv'!A:A,'PESM Itutinga Piloes pt2'!B516,'Composição dos serv'!I:I)</f>
        <v>0</v>
      </c>
      <c r="H516" s="38">
        <f t="shared" si="139"/>
        <v>0</v>
      </c>
      <c r="I516" s="24"/>
      <c r="J516" s="24"/>
      <c r="K516" s="39">
        <f>SUMIF('Composição dos serv'!A:A,B516,'Composição dos serv'!K:K)</f>
        <v>0.09</v>
      </c>
      <c r="L516" s="40">
        <f t="shared" si="136"/>
        <v>0</v>
      </c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</row>
    <row r="517" spans="1:23" ht="14.25" customHeight="1">
      <c r="A517" s="26" t="str">
        <f t="shared" si="138"/>
        <v>F06.3</v>
      </c>
      <c r="B517" s="26" t="s">
        <v>129</v>
      </c>
      <c r="C517" s="37" t="str">
        <f>VLOOKUP(B517,'Composição dos serv'!A:I,3,FALSE)</f>
        <v>Retirada de Forros qualquer com sistema de fixação</v>
      </c>
      <c r="D517" s="26" t="str">
        <f>VLOOKUP(B517,'Composição dos serv'!A:I,4,FALSE)</f>
        <v>m²</v>
      </c>
      <c r="E517" s="37">
        <v>120</v>
      </c>
      <c r="F517" s="37">
        <f>ROUNDUP(E517*0.1,2)</f>
        <v>12</v>
      </c>
      <c r="G517" s="38">
        <f>SUMIF('Composição dos serv'!A:A,'PESM Itutinga Piloes pt2'!B517,'Composição dos serv'!I:I)</f>
        <v>0</v>
      </c>
      <c r="H517" s="38">
        <f t="shared" si="139"/>
        <v>0</v>
      </c>
      <c r="I517" s="24"/>
      <c r="J517" s="24"/>
      <c r="K517" s="39">
        <f>SUMIF('Composição dos serv'!A:A,B517,'Composição dos serv'!K:K)</f>
        <v>0.04</v>
      </c>
      <c r="L517" s="40">
        <f t="shared" si="136"/>
        <v>5</v>
      </c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</row>
    <row r="518" spans="1:23" ht="14.25" customHeight="1">
      <c r="A518" s="33" t="str">
        <f>CONCATENATE(A503,".4")</f>
        <v>F06.4</v>
      </c>
      <c r="B518" s="33" t="s">
        <v>133</v>
      </c>
      <c r="C518" s="34" t="str">
        <f>VLOOKUP(B518,'Composição dos serv'!A:I,3,FALSE)</f>
        <v>PAREDES</v>
      </c>
      <c r="D518" s="35"/>
      <c r="E518" s="35"/>
      <c r="F518" s="35"/>
      <c r="G518" s="35"/>
      <c r="H518" s="36"/>
      <c r="I518" s="24"/>
      <c r="J518" s="24"/>
      <c r="K518" s="39">
        <f>SUMIF('Composição dos serv'!A:A,B518,'Composição dos serv'!K:K)</f>
        <v>0</v>
      </c>
      <c r="L518" s="40">
        <f t="shared" si="136"/>
        <v>0</v>
      </c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</row>
    <row r="519" spans="1:23" ht="14.25" customHeight="1">
      <c r="A519" s="26" t="str">
        <f>A518</f>
        <v>F06.4</v>
      </c>
      <c r="B519" s="26" t="s">
        <v>135</v>
      </c>
      <c r="C519" s="37" t="str">
        <f>VLOOKUP(B519,'Composição dos serv'!A:I,3,FALSE)</f>
        <v>Parede em Alvenaria - usar área construida</v>
      </c>
      <c r="D519" s="26" t="str">
        <f>VLOOKUP(B519,'Composição dos serv'!A:I,4,FALSE)</f>
        <v>m²</v>
      </c>
      <c r="E519" s="49">
        <v>20</v>
      </c>
      <c r="F519" s="37">
        <f>ROUNDUP(E519*0.8,2)</f>
        <v>16</v>
      </c>
      <c r="G519" s="38">
        <f>SUMIF('Composição dos serv'!A:A,B519,'Composição dos serv'!I:I)</f>
        <v>0</v>
      </c>
      <c r="H519" s="38">
        <f t="shared" ref="H519:H521" si="140">E519*G519</f>
        <v>0</v>
      </c>
      <c r="I519" s="24"/>
      <c r="J519" s="24"/>
      <c r="K519" s="39">
        <f>SUMIF('Composição dos serv'!A:A,B519,'Composição dos serv'!K:K)</f>
        <v>0.15000000000000002</v>
      </c>
      <c r="L519" s="40">
        <f t="shared" si="136"/>
        <v>3</v>
      </c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</row>
    <row r="520" spans="1:23" ht="14.25" customHeight="1">
      <c r="A520" s="26" t="str">
        <f>A518</f>
        <v>F06.4</v>
      </c>
      <c r="B520" s="26" t="s">
        <v>143</v>
      </c>
      <c r="C520" s="37" t="str">
        <f>VLOOKUP(B520,'Composição dos serv'!A:I,3,FALSE)</f>
        <v>Parede em Madeirite - Chapas de madeira compensada ou aglomerada - área construída</v>
      </c>
      <c r="D520" s="26" t="str">
        <f>VLOOKUP(B520,'Composição dos serv'!A:I,4,FALSE)</f>
        <v>m²</v>
      </c>
      <c r="E520" s="37">
        <v>120</v>
      </c>
      <c r="F520" s="37">
        <f>ROUNDUP(E520*0.21,2)</f>
        <v>25.2</v>
      </c>
      <c r="G520" s="38">
        <f>SUMIF('Composição dos serv'!A:A,B520,'Composição dos serv'!I:I)</f>
        <v>0</v>
      </c>
      <c r="H520" s="38">
        <f t="shared" si="140"/>
        <v>0</v>
      </c>
      <c r="I520" s="24"/>
      <c r="J520" s="24"/>
      <c r="K520" s="39">
        <f>SUMIF('Composição dos serv'!A:A,B520,'Composição dos serv'!K:K)</f>
        <v>0.15000000000000002</v>
      </c>
      <c r="L520" s="40">
        <f t="shared" si="136"/>
        <v>18</v>
      </c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</row>
    <row r="521" spans="1:23" ht="14.25" hidden="1" customHeight="1">
      <c r="A521" s="26" t="str">
        <f>A518</f>
        <v>F06.4</v>
      </c>
      <c r="B521" s="26" t="s">
        <v>145</v>
      </c>
      <c r="C521" s="37" t="str">
        <f>VLOOKUP(B521,'Composição dos serv'!A:I,3,FALSE)</f>
        <v>Parede em Lambril de madeira - área construída</v>
      </c>
      <c r="D521" s="26" t="str">
        <f>VLOOKUP(B521,'Composição dos serv'!A:I,4,FALSE)</f>
        <v>m²</v>
      </c>
      <c r="E521" s="37"/>
      <c r="F521" s="37">
        <f>ROUNDUP(E521*4*0.12,2)</f>
        <v>0</v>
      </c>
      <c r="G521" s="38">
        <f>SUMIF('Composição dos serv'!A:A,B521,'Composição dos serv'!I:I)</f>
        <v>0</v>
      </c>
      <c r="H521" s="38">
        <f t="shared" si="140"/>
        <v>0</v>
      </c>
      <c r="I521" s="24"/>
      <c r="J521" s="24"/>
      <c r="K521" s="39">
        <f>SUMIF('Composição dos serv'!A:A,B521,'Composição dos serv'!K:K)</f>
        <v>0.35000000000000009</v>
      </c>
      <c r="L521" s="40">
        <f t="shared" si="136"/>
        <v>0</v>
      </c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</row>
    <row r="522" spans="1:23" ht="14.25" customHeight="1">
      <c r="A522" s="33" t="str">
        <f>CONCATENATE(A503,".5")</f>
        <v>F06.5</v>
      </c>
      <c r="B522" s="33" t="s">
        <v>153</v>
      </c>
      <c r="C522" s="34" t="str">
        <f>VLOOKUP(B522,'Composição dos serv'!A:I,3,FALSE)</f>
        <v>PISO E FUNDAÇÃO</v>
      </c>
      <c r="D522" s="35"/>
      <c r="E522" s="35"/>
      <c r="F522" s="35"/>
      <c r="G522" s="35"/>
      <c r="H522" s="36"/>
      <c r="I522" s="24"/>
      <c r="J522" s="24"/>
      <c r="K522" s="39">
        <f>SUMIF('Composição dos serv'!A:A,B522,'Composição dos serv'!K:K)</f>
        <v>0</v>
      </c>
      <c r="L522" s="40">
        <f t="shared" si="136"/>
        <v>0</v>
      </c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</row>
    <row r="523" spans="1:23" ht="14.25" hidden="1" customHeight="1">
      <c r="A523" s="26" t="str">
        <f>A522</f>
        <v>F06.5</v>
      </c>
      <c r="B523" s="26" t="s">
        <v>155</v>
      </c>
      <c r="C523" s="37" t="str">
        <f>VLOOKUP(B523,'Composição dos serv'!A:I,3,FALSE)</f>
        <v>Piso da edificação com fundação</v>
      </c>
      <c r="D523" s="26" t="str">
        <f>VLOOKUP(B523,'Composição dos serv'!A:I,4,FALSE)</f>
        <v>m²</v>
      </c>
      <c r="E523" s="37"/>
      <c r="F523" s="37">
        <f>ROUNDUP(E523*0.24,2)</f>
        <v>0</v>
      </c>
      <c r="G523" s="38">
        <f>SUMIF('Composição dos serv'!A:A,B523,'Composição dos serv'!I:I)</f>
        <v>0</v>
      </c>
      <c r="H523" s="38">
        <f>E523*G523</f>
        <v>0</v>
      </c>
      <c r="I523" s="24"/>
      <c r="J523" s="24"/>
      <c r="K523" s="39">
        <f>SUMIF('Composição dos serv'!A:A,B523,'Composição dos serv'!K:K)</f>
        <v>0.17</v>
      </c>
      <c r="L523" s="40">
        <f t="shared" si="136"/>
        <v>0</v>
      </c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</row>
    <row r="524" spans="1:23" ht="15.75" customHeight="1">
      <c r="A524" s="33" t="str">
        <f>CONCATENATE(A503,".6")</f>
        <v>F06.6</v>
      </c>
      <c r="B524" s="33" t="s">
        <v>161</v>
      </c>
      <c r="C524" s="48" t="str">
        <f>VLOOKUP(B524,'Composição dos serv'!A:I,3,FALSE)</f>
        <v>ESTRUTURAS DIVERSAS</v>
      </c>
      <c r="D524" s="48"/>
      <c r="E524" s="48"/>
      <c r="F524" s="48"/>
      <c r="G524" s="48"/>
      <c r="H524" s="48"/>
      <c r="I524" s="24"/>
      <c r="J524" s="24"/>
      <c r="K524" s="39">
        <f>SUMIF('Composição dos serv'!A:A,B524,'Composição dos serv'!K:K)</f>
        <v>0</v>
      </c>
      <c r="L524" s="40">
        <f t="shared" si="136"/>
        <v>0</v>
      </c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</row>
    <row r="525" spans="1:23" ht="14.25" hidden="1" customHeight="1">
      <c r="A525" s="26" t="str">
        <f>A524</f>
        <v>F06.6</v>
      </c>
      <c r="B525" s="26" t="s">
        <v>163</v>
      </c>
      <c r="C525" s="37" t="str">
        <f>VLOOKUP(B525,'Composição dos serv'!A:I,3,FALSE)</f>
        <v>Escada em concreto com corrimão</v>
      </c>
      <c r="D525" s="26" t="str">
        <f>VLOOKUP(B525,'Composição dos serv'!A:I,4,FALSE)</f>
        <v>m</v>
      </c>
      <c r="E525" s="49"/>
      <c r="F525" s="37">
        <f>ROUNDUP(E525*1.2*0.25,2)</f>
        <v>0</v>
      </c>
      <c r="G525" s="38">
        <f>SUMIF('Composição dos serv'!A:A,'PESM Itutinga Piloes pt2'!B525,'Composição dos serv'!I:I)</f>
        <v>0</v>
      </c>
      <c r="H525" s="38">
        <f t="shared" ref="H525:H528" si="141">E525*G525</f>
        <v>0</v>
      </c>
      <c r="I525" s="24"/>
      <c r="J525" s="24"/>
      <c r="K525" s="39">
        <f>SUMIF('Composição dos serv'!A:A,B525,'Composição dos serv'!K:K)</f>
        <v>0.39</v>
      </c>
      <c r="L525" s="40">
        <f t="shared" si="136"/>
        <v>0</v>
      </c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</row>
    <row r="526" spans="1:23" ht="14.25" hidden="1" customHeight="1">
      <c r="A526" s="26" t="str">
        <f>A524</f>
        <v>F06.6</v>
      </c>
      <c r="B526" s="26" t="s">
        <v>169</v>
      </c>
      <c r="C526" s="37" t="str">
        <f>VLOOKUP(B526,'Composição dos serv'!A:I,3,FALSE)</f>
        <v>Entrada de Energia - medidor</v>
      </c>
      <c r="D526" s="26" t="str">
        <f>VLOOKUP(B526,'Composição dos serv'!A:I,4,FALSE)</f>
        <v>un</v>
      </c>
      <c r="E526" s="37"/>
      <c r="F526" s="37">
        <f>ROUNDUP(E526*(3.2+(((3.1415*0.4^2)/4)*6)),2)</f>
        <v>0</v>
      </c>
      <c r="G526" s="38">
        <f>SUMIF('Composição dos serv'!A:A,'PESM Itutinga Piloes pt2'!B526,'Composição dos serv'!I:I)</f>
        <v>0</v>
      </c>
      <c r="H526" s="38">
        <f t="shared" si="141"/>
        <v>0</v>
      </c>
      <c r="I526" s="24"/>
      <c r="J526" s="24"/>
      <c r="K526" s="39">
        <f>SUMIF('Composição dos serv'!A:A,B526,'Composição dos serv'!K:K)</f>
        <v>1.7600000000000002</v>
      </c>
      <c r="L526" s="40">
        <f t="shared" si="136"/>
        <v>0</v>
      </c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</row>
    <row r="527" spans="1:23" ht="14.25" hidden="1" customHeight="1">
      <c r="A527" s="26" t="str">
        <f>A524</f>
        <v>F06.6</v>
      </c>
      <c r="B527" s="26" t="s">
        <v>183</v>
      </c>
      <c r="C527" s="37" t="str">
        <f>VLOOKUP(B527,'Composição dos serv'!A:I,3,FALSE)</f>
        <v>Hidrômetro com abrigo</v>
      </c>
      <c r="D527" s="26" t="str">
        <f>VLOOKUP(B527,'Composição dos serv'!A:I,4,FALSE)</f>
        <v>un</v>
      </c>
      <c r="E527" s="37"/>
      <c r="F527" s="37">
        <f>ROUNDUP(E527*(1.7+0.1),2)</f>
        <v>0</v>
      </c>
      <c r="G527" s="38">
        <f>SUMIF('Composição dos serv'!A:A,'PESM Itutinga Piloes pt2'!B527,'Composição dos serv'!I:I)</f>
        <v>0</v>
      </c>
      <c r="H527" s="38">
        <f t="shared" si="141"/>
        <v>0</v>
      </c>
      <c r="I527" s="24"/>
      <c r="J527" s="24"/>
      <c r="K527" s="39">
        <f>SUMIF('Composição dos serv'!A:A,B527,'Composição dos serv'!K:K)</f>
        <v>0.44000000000000006</v>
      </c>
      <c r="L527" s="40">
        <f t="shared" si="136"/>
        <v>0</v>
      </c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</row>
    <row r="528" spans="1:23" ht="23.25" hidden="1" customHeight="1">
      <c r="A528" s="26" t="str">
        <f>A526</f>
        <v>F06.6</v>
      </c>
      <c r="B528" s="26" t="s">
        <v>191</v>
      </c>
      <c r="C528" s="37" t="str">
        <f>VLOOKUP(B528,'Composição dos serv'!A:I,3,FALSE)</f>
        <v>Aterro de Fossa com retirada de tampa</v>
      </c>
      <c r="D528" s="26" t="str">
        <f>VLOOKUP(B528,'Composição dos serv'!A:I,4,FALSE)</f>
        <v>un</v>
      </c>
      <c r="E528" s="37"/>
      <c r="F528" s="37">
        <f>ROUNDUP(E528*(0.4),2)</f>
        <v>0</v>
      </c>
      <c r="G528" s="38">
        <f>SUMIF('Composição dos serv'!A:A,'PESM Itutinga Piloes pt2'!B528,'Composição dos serv'!I:I)</f>
        <v>0</v>
      </c>
      <c r="H528" s="38">
        <f t="shared" si="141"/>
        <v>0</v>
      </c>
      <c r="I528" s="24"/>
      <c r="J528" s="24"/>
      <c r="K528" s="39">
        <f>SUMIF('Composição dos serv'!A:A,B528,'Composição dos serv'!K:K)</f>
        <v>0.85000000000000009</v>
      </c>
      <c r="L528" s="40">
        <f t="shared" si="136"/>
        <v>0</v>
      </c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</row>
    <row r="529" spans="1:26" ht="14.25" customHeight="1">
      <c r="A529" s="33" t="str">
        <f>CONCATENATE(A503,".7")</f>
        <v>F06.7</v>
      </c>
      <c r="B529" s="33" t="s">
        <v>195</v>
      </c>
      <c r="C529" s="48" t="str">
        <f>VLOOKUP(B529,'Composição dos serv'!A:I,3,FALSE)</f>
        <v>ACABAMENTOS DIVERSOS e OUTROS</v>
      </c>
      <c r="D529" s="48"/>
      <c r="E529" s="48"/>
      <c r="F529" s="48"/>
      <c r="G529" s="48"/>
      <c r="H529" s="48"/>
      <c r="I529" s="24"/>
      <c r="J529" s="24"/>
      <c r="K529" s="39">
        <f>SUMIF('Composição dos serv'!A:A,B529,'Composição dos serv'!K:K)</f>
        <v>0</v>
      </c>
      <c r="L529" s="40">
        <f t="shared" si="136"/>
        <v>0</v>
      </c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spans="1:26" ht="14.25" customHeight="1">
      <c r="A530" s="26" t="str">
        <f>A529</f>
        <v>F06.7</v>
      </c>
      <c r="B530" s="50" t="s">
        <v>197</v>
      </c>
      <c r="C530" s="49" t="str">
        <f>VLOOKUP(B530,'Composição dos serv'!A:I,3,FALSE)</f>
        <v>Remoção de aparelhos sanitarios - por banheiro</v>
      </c>
      <c r="D530" s="50" t="str">
        <f>VLOOKUP(B530,'Composição dos serv'!A:I,4,FALSE)</f>
        <v>unid</v>
      </c>
      <c r="E530" s="49">
        <v>1</v>
      </c>
      <c r="F530" s="37">
        <f t="shared" ref="F530:F532" si="142">ROUNDUP(E530*1,2)</f>
        <v>1</v>
      </c>
      <c r="G530" s="51">
        <f>SUMIF('Composição dos serv'!A:A,B530,'Composição dos serv'!I:I)</f>
        <v>0</v>
      </c>
      <c r="H530" s="51">
        <f t="shared" ref="H530:H536" si="143">E530*G530</f>
        <v>0</v>
      </c>
      <c r="I530" s="24"/>
      <c r="J530" s="24"/>
      <c r="K530" s="39">
        <f>SUMIF('Composição dos serv'!A:A,B530,'Composição dos serv'!K:K)</f>
        <v>0.19</v>
      </c>
      <c r="L530" s="40">
        <f t="shared" si="136"/>
        <v>1</v>
      </c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</row>
    <row r="531" spans="1:26" ht="14.25" customHeight="1">
      <c r="A531" s="26" t="str">
        <f>A529</f>
        <v>F06.7</v>
      </c>
      <c r="B531" s="50" t="s">
        <v>209</v>
      </c>
      <c r="C531" s="37" t="str">
        <f>VLOOKUP(B531,'Composição dos serv'!A:I,3,FALSE)</f>
        <v>Remoção de aparelhos sanitarios - Cozinha e Área de Serviço</v>
      </c>
      <c r="D531" s="26" t="str">
        <f>VLOOKUP(B531,'Composição dos serv'!A:I,4,FALSE)</f>
        <v>unid</v>
      </c>
      <c r="E531" s="37">
        <v>1</v>
      </c>
      <c r="F531" s="37">
        <f t="shared" si="142"/>
        <v>1</v>
      </c>
      <c r="G531" s="51">
        <f>SUMIF('Composição dos serv'!A:A,B531,'Composição dos serv'!I:I)</f>
        <v>0</v>
      </c>
      <c r="H531" s="38">
        <f t="shared" si="143"/>
        <v>0</v>
      </c>
      <c r="I531" s="24"/>
      <c r="J531" s="24"/>
      <c r="K531" s="39">
        <f>SUMIF('Composição dos serv'!A:A,B531,'Composição dos serv'!K:K)</f>
        <v>0.21</v>
      </c>
      <c r="L531" s="40">
        <f t="shared" si="136"/>
        <v>1</v>
      </c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</row>
    <row r="532" spans="1:26" ht="14.25" customHeight="1">
      <c r="A532" s="26" t="str">
        <f>A529</f>
        <v>F06.7</v>
      </c>
      <c r="B532" s="50" t="s">
        <v>215</v>
      </c>
      <c r="C532" s="37" t="str">
        <f>VLOOKUP(B532,'Composição dos serv'!A:I,3,FALSE)</f>
        <v>Remoção de caixa d'agua</v>
      </c>
      <c r="D532" s="26" t="str">
        <f>VLOOKUP(B532,'Composição dos serv'!A:I,4,FALSE)</f>
        <v>unid</v>
      </c>
      <c r="E532" s="37">
        <v>1</v>
      </c>
      <c r="F532" s="37">
        <f t="shared" si="142"/>
        <v>1</v>
      </c>
      <c r="G532" s="51">
        <f>SUMIF('Composição dos serv'!A:A,B532,'Composição dos serv'!I:I)</f>
        <v>0</v>
      </c>
      <c r="H532" s="38">
        <f t="shared" si="143"/>
        <v>0</v>
      </c>
      <c r="I532" s="24"/>
      <c r="J532" s="24"/>
      <c r="K532" s="39">
        <f>SUMIF('Composição dos serv'!A:A,B532,'Composição dos serv'!K:K)</f>
        <v>0.42000000000000004</v>
      </c>
      <c r="L532" s="40">
        <f t="shared" si="136"/>
        <v>1</v>
      </c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</row>
    <row r="533" spans="1:26" ht="14.25" hidden="1" customHeight="1">
      <c r="A533" s="26" t="str">
        <f>A529</f>
        <v>F06.7</v>
      </c>
      <c r="B533" s="50" t="s">
        <v>219</v>
      </c>
      <c r="C533" s="37" t="str">
        <f>VLOOKUP(B533,'Composição dos serv'!A:I,3,FALSE)</f>
        <v>Remoção do Sistema de Para raios - área do telhado</v>
      </c>
      <c r="D533" s="26" t="str">
        <f>VLOOKUP(B533,'Composição dos serv'!A:I,4,FALSE)</f>
        <v>m²</v>
      </c>
      <c r="E533" s="37"/>
      <c r="F533" s="37">
        <f>ROUNDUP(E533/60,2)</f>
        <v>0</v>
      </c>
      <c r="G533" s="51">
        <f>SUMIF('Composição dos serv'!A:A,B533,'Composição dos serv'!I:I)</f>
        <v>0</v>
      </c>
      <c r="H533" s="38">
        <f t="shared" si="143"/>
        <v>0</v>
      </c>
      <c r="I533" s="24"/>
      <c r="J533" s="24"/>
      <c r="K533" s="39">
        <f>SUMIF('Composição dos serv'!A:A,B533,'Composição dos serv'!K:K)</f>
        <v>0.05</v>
      </c>
      <c r="L533" s="40">
        <f t="shared" si="136"/>
        <v>0</v>
      </c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</row>
    <row r="534" spans="1:26" ht="14.25" customHeight="1">
      <c r="A534" s="26" t="str">
        <f>A529</f>
        <v>F06.7</v>
      </c>
      <c r="B534" s="50" t="s">
        <v>227</v>
      </c>
      <c r="C534" s="37" t="str">
        <f>VLOOKUP(B534,'Composição dos serv'!A:I,3,FALSE)</f>
        <v>Janelas</v>
      </c>
      <c r="D534" s="26" t="str">
        <f>VLOOKUP(B534,'Composição dos serv'!A:I,4,FALSE)</f>
        <v>un</v>
      </c>
      <c r="E534" s="37">
        <v>6</v>
      </c>
      <c r="F534" s="37">
        <f>ROUNDUP(E534*1.5*1.2*0.2,2)</f>
        <v>2.16</v>
      </c>
      <c r="G534" s="51">
        <f>SUMIF('Composição dos serv'!A:A,B534,'Composição dos serv'!I:I)</f>
        <v>0</v>
      </c>
      <c r="H534" s="38">
        <f t="shared" si="143"/>
        <v>0</v>
      </c>
      <c r="I534" s="24"/>
      <c r="J534" s="24"/>
      <c r="K534" s="39">
        <f>SUMIF('Composição dos serv'!A:A,B534,'Composição dos serv'!K:K)</f>
        <v>0</v>
      </c>
      <c r="L534" s="40">
        <f t="shared" si="136"/>
        <v>0</v>
      </c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</row>
    <row r="535" spans="1:26" ht="14.25" customHeight="1">
      <c r="A535" s="26" t="str">
        <f>A529</f>
        <v>F06.7</v>
      </c>
      <c r="B535" s="50" t="s">
        <v>234</v>
      </c>
      <c r="C535" s="37" t="str">
        <f>VLOOKUP(B535,'Composição dos serv'!A:I,3,FALSE)</f>
        <v>Portas</v>
      </c>
      <c r="D535" s="26" t="str">
        <f>VLOOKUP(B535,'Composição dos serv'!A:I,4,FALSE)</f>
        <v>un</v>
      </c>
      <c r="E535" s="37">
        <v>1</v>
      </c>
      <c r="F535" s="37">
        <f>ROUNDUP(E535*2.1*0.9*0.2,2)</f>
        <v>0.38</v>
      </c>
      <c r="G535" s="51">
        <f>SUMIF('Composição dos serv'!A:A,B535,'Composição dos serv'!I:I)</f>
        <v>0</v>
      </c>
      <c r="H535" s="38">
        <f t="shared" si="143"/>
        <v>0</v>
      </c>
      <c r="I535" s="24"/>
      <c r="J535" s="24"/>
      <c r="K535" s="39">
        <f>SUMIF('Composição dos serv'!A:A,B535,'Composição dos serv'!K:K)</f>
        <v>0</v>
      </c>
      <c r="L535" s="40">
        <f t="shared" si="136"/>
        <v>0</v>
      </c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</row>
    <row r="536" spans="1:26" ht="14.25" hidden="1" customHeight="1">
      <c r="A536" s="26" t="str">
        <f>A529</f>
        <v>F06.7</v>
      </c>
      <c r="B536" s="50" t="s">
        <v>236</v>
      </c>
      <c r="C536" s="37" t="str">
        <f>VLOOKUP(B536,'Composição dos serv'!A:I,3,FALSE)</f>
        <v>Guarda corpo de metal</v>
      </c>
      <c r="D536" s="26" t="str">
        <f>VLOOKUP(B536,'Composição dos serv'!A:I,4,FALSE)</f>
        <v>m</v>
      </c>
      <c r="E536" s="37"/>
      <c r="F536" s="37">
        <f>ROUNDUP(E536*1.7*0.05,2)</f>
        <v>0</v>
      </c>
      <c r="G536" s="51">
        <f>SUMIF('Composição dos serv'!A:A,B536,'Composição dos serv'!I:I)</f>
        <v>0</v>
      </c>
      <c r="H536" s="38">
        <f t="shared" si="143"/>
        <v>0</v>
      </c>
      <c r="I536" s="24"/>
      <c r="J536" s="24"/>
      <c r="K536" s="39">
        <f>SUMIF('Composição dos serv'!A:A,B536,'Composição dos serv'!K:K)</f>
        <v>0</v>
      </c>
      <c r="L536" s="40">
        <f t="shared" si="136"/>
        <v>0</v>
      </c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</row>
    <row r="537" spans="1:26" ht="14.25" customHeight="1">
      <c r="A537" s="33" t="str">
        <f>CONCATENATE(A503,".8")</f>
        <v>F06.8</v>
      </c>
      <c r="B537" s="33" t="s">
        <v>240</v>
      </c>
      <c r="C537" s="48" t="str">
        <f>VLOOKUP(B537,'Composição dos serv'!A:I,3,FALSE)</f>
        <v>ENTULHO</v>
      </c>
      <c r="D537" s="48"/>
      <c r="E537" s="48"/>
      <c r="F537" s="48"/>
      <c r="G537" s="48"/>
      <c r="H537" s="48"/>
      <c r="I537" s="24"/>
      <c r="J537" s="24"/>
      <c r="K537" s="39">
        <f>SUMIF('Composição dos serv'!A:A,B537,'Composição dos serv'!K:K)</f>
        <v>0</v>
      </c>
      <c r="L537" s="40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</row>
    <row r="538" spans="1:26" ht="14.25" hidden="1" customHeight="1">
      <c r="A538" s="26" t="str">
        <f>A537</f>
        <v>F06.8</v>
      </c>
      <c r="B538" s="50" t="s">
        <v>242</v>
      </c>
      <c r="C538" s="49" t="str">
        <f>VLOOKUP(B538,'Composição dos serv'!A:I,3,FALSE)</f>
        <v>Transporte e espalhamento Manual do entulho a ser reutilizado</v>
      </c>
      <c r="D538" s="50" t="s">
        <v>291</v>
      </c>
      <c r="E538" s="49"/>
      <c r="F538" s="52">
        <f>IF(E538=1,ROUNDUP((IF(E506&lt;&gt;"",F506,0)+IF(E507&lt;&gt;"",F507,0)+IF(E509&lt;&gt;"",F509,0)+IF(E510&lt;&gt;"",F510*0.34,0)+IF(E513&lt;&gt;"",F513*0.43,0)+IF(E516&lt;&gt;"",F516*0.8,0)+IF(E519&lt;&gt;"",F519*(0.78),0)+IF(E523&lt;&gt;"",F523*0.98,0)+IF(E525&lt;&gt;"",F525*0.91,0)+IF(E526&lt;&gt;"",F526*0.26,0)+IF(E527&lt;&gt;"",F527*0.24,0)+IF(E528&lt;&gt;"",F528,0)),2),0)</f>
        <v>0</v>
      </c>
      <c r="G538" s="51">
        <f>SUMIF('Composição dos serv'!A:A,B538,'Composição dos serv'!I:I)</f>
        <v>0</v>
      </c>
      <c r="H538" s="51">
        <f t="shared" ref="H538:H539" si="144">F538*G538</f>
        <v>0</v>
      </c>
      <c r="I538" s="24"/>
      <c r="J538" s="24"/>
      <c r="K538" s="39">
        <f>SUMIF('Composição dos serv'!A:A,B538,'Composição dos serv'!K:K)</f>
        <v>0.15000000000000002</v>
      </c>
      <c r="L538" s="40">
        <f t="shared" ref="L538:L541" si="145">ROUNDUP(K538*F538,0)</f>
        <v>0</v>
      </c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</row>
    <row r="539" spans="1:26" ht="14.25" hidden="1" customHeight="1">
      <c r="A539" s="26" t="str">
        <f>A537</f>
        <v>F06.8</v>
      </c>
      <c r="B539" s="50" t="s">
        <v>246</v>
      </c>
      <c r="C539" s="49" t="str">
        <f>VLOOKUP(B539,'Composição dos serv'!A:I,3,FALSE)</f>
        <v>Remoção e Transporte Mecanizado do entulho a ser reutilizado</v>
      </c>
      <c r="D539" s="50" t="s">
        <v>291</v>
      </c>
      <c r="E539" s="49"/>
      <c r="F539" s="52">
        <f>IF(E539=1,SUM(F506:F536)-H543,0)</f>
        <v>0</v>
      </c>
      <c r="G539" s="51">
        <f>SUMIF('Composição dos serv'!A:A,B539,'Composição dos serv'!I:I)</f>
        <v>0</v>
      </c>
      <c r="H539" s="51">
        <f t="shared" si="144"/>
        <v>0</v>
      </c>
      <c r="I539" s="24"/>
      <c r="J539" s="24"/>
      <c r="K539" s="39">
        <f>SUMIF('Composição dos serv'!A:A,B539,'Composição dos serv'!K:K)</f>
        <v>0.02</v>
      </c>
      <c r="L539" s="40">
        <f t="shared" si="145"/>
        <v>0</v>
      </c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</row>
    <row r="540" spans="1:26" ht="14.25" customHeight="1">
      <c r="A540" s="26" t="str">
        <f>A537</f>
        <v>F06.8</v>
      </c>
      <c r="B540" s="50" t="s">
        <v>252</v>
      </c>
      <c r="C540" s="49" t="str">
        <f>VLOOKUP(B540,'Composição dos serv'!A:I,3,FALSE)</f>
        <v>Remoção do entulho com caçamba</v>
      </c>
      <c r="D540" s="50" t="s">
        <v>291</v>
      </c>
      <c r="E540" s="49">
        <v>1</v>
      </c>
      <c r="F540" s="52">
        <f>IF(E540=1,SUM(F506:F536),0)</f>
        <v>97.94</v>
      </c>
      <c r="G540" s="51">
        <f>SUMIF('Composição dos serv'!A:A,B540,'Composição dos serv'!I:I)</f>
        <v>0</v>
      </c>
      <c r="H540" s="51">
        <f>IF(E540&gt;1,"OPÇÃO ERRADA",F540*G540)+IF(G543=1,H543*G540,0)</f>
        <v>0</v>
      </c>
      <c r="I540" s="24"/>
      <c r="J540" s="24"/>
      <c r="K540" s="39">
        <f>SUMIF('Composição dos serv'!A:A,B540,'Composição dos serv'!K:K)</f>
        <v>0.02</v>
      </c>
      <c r="L540" s="40">
        <f t="shared" si="145"/>
        <v>2</v>
      </c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</row>
    <row r="541" spans="1:26" ht="14.25" hidden="1" customHeight="1">
      <c r="A541" s="26" t="str">
        <f>A537</f>
        <v>F06.8</v>
      </c>
      <c r="B541" s="50" t="s">
        <v>256</v>
      </c>
      <c r="C541" s="49" t="str">
        <f>VLOOKUP(B541,'Composição dos serv'!A:I,3,FALSE)</f>
        <v>Remoção e Transporte Mecanizado do entulho para bota fora</v>
      </c>
      <c r="D541" s="50" t="s">
        <v>291</v>
      </c>
      <c r="E541" s="49"/>
      <c r="F541" s="52">
        <f>IF(E541=1,SUM(F506:F536),0)</f>
        <v>0</v>
      </c>
      <c r="G541" s="51">
        <f>SUMIF('Composição dos serv'!A:A,B541,'Composição dos serv'!I:I)</f>
        <v>0</v>
      </c>
      <c r="H541" s="51">
        <f>IF(E541&gt;1,"OPÇÃO ERRADA",F541*G541)+IF(G543=2,H543*G541,0)</f>
        <v>0</v>
      </c>
      <c r="I541" s="24"/>
      <c r="J541" s="24"/>
      <c r="K541" s="39">
        <f>SUMIF('Composição dos serv'!A:A,B541,'Composição dos serv'!K:K)</f>
        <v>7.9999999999999988E-2</v>
      </c>
      <c r="L541" s="40">
        <f t="shared" si="145"/>
        <v>0</v>
      </c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</row>
    <row r="542" spans="1:26" ht="14.25" hidden="1" customHeight="1">
      <c r="A542" s="26" t="str">
        <f>A537</f>
        <v>F06.8</v>
      </c>
      <c r="B542" s="50" t="s">
        <v>264</v>
      </c>
      <c r="C542" s="49" t="str">
        <f>VLOOKUP(B542,'Composição dos serv'!A:I,3,FALSE)</f>
        <v>Remoção de telhas em cimento amianto</v>
      </c>
      <c r="D542" s="26" t="str">
        <f>VLOOKUP(B542,'Composição dos serv'!A:I,4,FALSE)</f>
        <v>m²</v>
      </c>
      <c r="E542" s="49">
        <f>SUM(E514:E515)</f>
        <v>0</v>
      </c>
      <c r="F542" s="52"/>
      <c r="G542" s="51">
        <f>SUMIF('Composição dos serv'!A:A,B542,'Composição dos serv'!I:I)</f>
        <v>0</v>
      </c>
      <c r="H542" s="51">
        <f>G542*E542</f>
        <v>0</v>
      </c>
      <c r="I542" s="24"/>
      <c r="J542" s="24"/>
      <c r="K542" s="39"/>
      <c r="L542" s="40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</row>
    <row r="543" spans="1:26" ht="14.25" customHeight="1">
      <c r="A543" s="53"/>
      <c r="B543" s="53"/>
      <c r="C543" s="37" t="str">
        <f>IF(E540&lt;&gt;1,IF(E541&lt;&gt;1,IF(H543&lt;&gt;0,"Há Material não reutilizavel qual a destinação para ele?",""),""),"")</f>
        <v/>
      </c>
      <c r="D543" s="168" t="str">
        <f>IF(E540&lt;&gt;1,IF(E541&lt;&gt;1,IF(H543&lt;&gt;0,"Caçamba = 1; Aterro = 2",""),""),"")</f>
        <v/>
      </c>
      <c r="E543" s="169"/>
      <c r="F543" s="170"/>
      <c r="G543" s="37">
        <v>1</v>
      </c>
      <c r="H543" s="54">
        <f>IF(E540=1,0,IF(E541=1,0,ROUNDUP((IF(E510&lt;&gt;"",F510*0.66,0)+IF(E513&lt;&gt;"",F513*0.57,0)+IF(E515&lt;&gt;"",F515,0)+IF(E516&lt;&gt;"",F516*0.2,0)+IF(E517&lt;&gt;"",F517,0)+IF(E519&lt;&gt;"",F519*0.22,0)+IF(E520&lt;&gt;"",F520,0)+IF(E521&lt;&gt;"",F521,0)+IF(E523&lt;&gt;"",F523*0.02,0)+IF(E525&lt;&gt;"",F525*0.09,0)+IF(E526&lt;&gt;"",F526*0.74,0)+IF(E527&lt;&gt;"",F527*(1-0.24),0)+IF(E530&lt;&gt;"",F530,0)+IF(E531&lt;&gt;"",F531,0)+IF(E532&lt;&gt;"",F532,0)+IF(E533&lt;&gt;"",F533,0)+IF(E534&lt;&gt;"",F534,0)+IF(E535&lt;&gt;"",F535,0)+IF(E536&lt;&gt;"",F536,0)+IF(E514&lt;&gt;"",F514,0)+IF(E512&lt;&gt;"",F512,0)),2)))</f>
        <v>0</v>
      </c>
      <c r="I543" s="24"/>
      <c r="J543" s="24"/>
      <c r="K543" s="39"/>
      <c r="L543" s="40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</row>
    <row r="544" spans="1:26" ht="6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39">
        <f>SUMIF('Composição dos serv'!A:A,'PESM Itutinga Piloes pt2'!B544,'Composição dos serv'!K:K)</f>
        <v>0</v>
      </c>
      <c r="L544" s="40">
        <f>ROUNDUP(K544*E544,0)</f>
        <v>0</v>
      </c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4.25" customHeight="1">
      <c r="A545" s="96" t="str">
        <f>A503</f>
        <v>F06</v>
      </c>
      <c r="B545" s="175" t="str">
        <f>C503</f>
        <v>EDIFICAÇÃO 27 - Gleba F06</v>
      </c>
      <c r="C545" s="169"/>
      <c r="D545" s="176" t="s">
        <v>280</v>
      </c>
      <c r="E545" s="169"/>
      <c r="F545" s="169"/>
      <c r="G545" s="98">
        <f>SUM(H506:H542)</f>
        <v>0</v>
      </c>
      <c r="H545" s="99"/>
      <c r="I545" s="24"/>
      <c r="J545" s="24"/>
      <c r="K545" s="39">
        <f>IF(SUM(L538:L541)&gt;SUM(L506:L536),SUM(L538:L541),SUM(L506:L536))</f>
        <v>38</v>
      </c>
      <c r="L545" s="40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</row>
    <row r="546" spans="1:26" ht="9.75" customHeight="1">
      <c r="A546" s="30"/>
      <c r="B546" s="44"/>
      <c r="C546" s="24"/>
      <c r="D546" s="44"/>
      <c r="E546" s="24"/>
      <c r="F546" s="24"/>
      <c r="G546" s="45"/>
      <c r="H546" s="45"/>
      <c r="I546" s="24"/>
      <c r="J546" s="24"/>
      <c r="K546" s="39">
        <f>SUMIF('Composição dos serv'!A:A,'PESM Itutinga Piloes pt2'!B546,'Composição dos serv'!K:K)</f>
        <v>0</v>
      </c>
      <c r="L546" s="40">
        <f t="shared" ref="L546:L548" si="146">ROUNDUP(K546*E546,0)</f>
        <v>0</v>
      </c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9.5" customHeight="1">
      <c r="A547" s="100" t="s">
        <v>353</v>
      </c>
      <c r="B547" s="100">
        <v>2</v>
      </c>
      <c r="C547" s="101" t="s">
        <v>354</v>
      </c>
      <c r="D547" s="101"/>
      <c r="E547" s="101"/>
      <c r="F547" s="101"/>
      <c r="G547" s="101"/>
      <c r="H547" s="101"/>
      <c r="I547" s="24"/>
      <c r="J547" s="24"/>
      <c r="K547" s="39">
        <f>SUMIF('Composição dos serv'!A:A,'PESM Itutinga Piloes pt2'!B547,'Composição dos serv'!K:K)</f>
        <v>0</v>
      </c>
      <c r="L547" s="40">
        <f t="shared" si="146"/>
        <v>0</v>
      </c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</row>
    <row r="548" spans="1:26" ht="6" customHeight="1">
      <c r="A548" s="59"/>
      <c r="B548" s="30"/>
      <c r="C548" s="30"/>
      <c r="D548" s="30"/>
      <c r="E548" s="30"/>
      <c r="F548" s="30"/>
      <c r="G548" s="30"/>
      <c r="H548" s="30"/>
      <c r="I548" s="24"/>
      <c r="J548" s="24"/>
      <c r="K548" s="39">
        <f>SUMIF('Composição dos serv'!A:A,'PESM Itutinga Piloes pt2'!B548,'Composição dos serv'!K:K)</f>
        <v>0</v>
      </c>
      <c r="L548" s="40">
        <f t="shared" si="146"/>
        <v>0</v>
      </c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4.25" customHeight="1">
      <c r="A549" s="33" t="str">
        <f>CONCATENATE(A547,".1")</f>
        <v>G01.1</v>
      </c>
      <c r="B549" s="33" t="s">
        <v>67</v>
      </c>
      <c r="C549" s="48" t="str">
        <f>VLOOKUP(B549,'Composição dos serv'!A:I,3,FALSE)</f>
        <v>DEMOLIÇÃO DE CALÇADAS E/OU CAMINHOS</v>
      </c>
      <c r="D549" s="48"/>
      <c r="E549" s="48"/>
      <c r="F549" s="48"/>
      <c r="G549" s="48"/>
      <c r="H549" s="48"/>
      <c r="I549" s="24"/>
      <c r="J549" s="24"/>
      <c r="K549" s="31"/>
      <c r="L549" s="32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</row>
    <row r="550" spans="1:26" ht="14.25" customHeight="1">
      <c r="A550" s="26" t="str">
        <f>A549</f>
        <v>G01.1</v>
      </c>
      <c r="B550" s="26" t="s">
        <v>69</v>
      </c>
      <c r="C550" s="49" t="str">
        <f>VLOOKUP(B550,'Composição dos serv'!A:I,3,FALSE)</f>
        <v>Demolição de calçada ou caminhos</v>
      </c>
      <c r="D550" s="50" t="str">
        <f>VLOOKUP(B550,'Composição dos serv'!A:I,4,FALSE)</f>
        <v>m²</v>
      </c>
      <c r="E550" s="49">
        <v>10</v>
      </c>
      <c r="F550" s="49">
        <f>ROUNDUP(E550*0.15,2)</f>
        <v>1.5</v>
      </c>
      <c r="G550" s="51">
        <f>SUMIF('Composição dos serv'!A:A,'PESM Itutinga Piloes pt2'!B550,'Composição dos serv'!I:I)</f>
        <v>0</v>
      </c>
      <c r="H550" s="51">
        <f t="shared" ref="H550:H551" si="147">E550*G550</f>
        <v>0</v>
      </c>
      <c r="I550" s="24"/>
      <c r="J550" s="24"/>
      <c r="K550" s="39">
        <f>SUMIF('Composição dos serv'!A:A,B550,'Composição dos serv'!K:K)</f>
        <v>0.12</v>
      </c>
      <c r="L550" s="40">
        <f t="shared" ref="L550:L580" si="148">ROUNDUP(K550*E550,0)</f>
        <v>2</v>
      </c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</row>
    <row r="551" spans="1:26" ht="14.25" hidden="1" customHeight="1">
      <c r="A551" s="26" t="str">
        <f>A549</f>
        <v>G01.1</v>
      </c>
      <c r="B551" s="26" t="s">
        <v>75</v>
      </c>
      <c r="C551" s="37" t="str">
        <f>VLOOKUP(B551,'Composição dos serv'!A:I,3,FALSE)</f>
        <v>Demolição de via Asfaltada, em paralelepípedo ou intertravados</v>
      </c>
      <c r="D551" s="26" t="str">
        <f>VLOOKUP(B551,'Composição dos serv'!A:I,4,FALSE)</f>
        <v>m²</v>
      </c>
      <c r="E551" s="37"/>
      <c r="F551" s="37">
        <f>ROUNDUP(E551*0.2,2)</f>
        <v>0</v>
      </c>
      <c r="G551" s="38">
        <f>SUMIF('Composição dos serv'!A:A,'PESM Itutinga Piloes pt2'!B551,'Composição dos serv'!I:I)</f>
        <v>0</v>
      </c>
      <c r="H551" s="38">
        <f t="shared" si="147"/>
        <v>0</v>
      </c>
      <c r="I551" s="24"/>
      <c r="J551" s="24"/>
      <c r="K551" s="39">
        <f>SUMIF('Composição dos serv'!A:A,B551,'Composição dos serv'!K:K)</f>
        <v>0.06</v>
      </c>
      <c r="L551" s="40">
        <f t="shared" si="148"/>
        <v>0</v>
      </c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</row>
    <row r="552" spans="1:26" ht="14.25" customHeight="1">
      <c r="A552" s="33" t="str">
        <f>CONCATENATE(A547,".2")</f>
        <v>G01.2</v>
      </c>
      <c r="B552" s="33" t="s">
        <v>85</v>
      </c>
      <c r="C552" s="34" t="str">
        <f>VLOOKUP(B552,'Composição dos serv'!A:I,3,FALSE)</f>
        <v>DEMOLIÇÃO DE MUROS E CERCAS</v>
      </c>
      <c r="D552" s="35"/>
      <c r="E552" s="35"/>
      <c r="F552" s="35"/>
      <c r="G552" s="35"/>
      <c r="H552" s="36"/>
      <c r="I552" s="24"/>
      <c r="J552" s="24"/>
      <c r="K552" s="39">
        <f>SUMIF('Composição dos serv'!A:A,B552,'Composição dos serv'!K:K)</f>
        <v>0</v>
      </c>
      <c r="L552" s="40">
        <f t="shared" si="148"/>
        <v>0</v>
      </c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</row>
    <row r="553" spans="1:26" ht="14.25" customHeight="1">
      <c r="A553" s="26" t="str">
        <f>A552</f>
        <v>G01.2</v>
      </c>
      <c r="B553" s="26" t="s">
        <v>87</v>
      </c>
      <c r="C553" s="37" t="str">
        <f>VLOOKUP(B553,'Composição dos serv'!A:I,3,FALSE)</f>
        <v>Demolição de muro em alvenaria ou alambrados</v>
      </c>
      <c r="D553" s="26" t="str">
        <f>VLOOKUP(B553,'Composição dos serv'!A:I,4,FALSE)</f>
        <v>m</v>
      </c>
      <c r="E553" s="37">
        <v>15</v>
      </c>
      <c r="F553" s="37">
        <f>ROUNDUP(E553*0.2*2.4,2)</f>
        <v>7.2</v>
      </c>
      <c r="G553" s="38">
        <f>SUMIF('Composição dos serv'!A:A,'PESM Itutinga Piloes pt2'!B553,'Composição dos serv'!I:I)</f>
        <v>0</v>
      </c>
      <c r="H553" s="38">
        <f t="shared" ref="H553:H554" si="149">E553*G553</f>
        <v>0</v>
      </c>
      <c r="I553" s="24"/>
      <c r="J553" s="24"/>
      <c r="K553" s="39">
        <f>SUMIF('Composição dos serv'!A:A,B553,'Composição dos serv'!K:K)</f>
        <v>0.26</v>
      </c>
      <c r="L553" s="40">
        <f t="shared" si="148"/>
        <v>4</v>
      </c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</row>
    <row r="554" spans="1:26" ht="14.25" customHeight="1">
      <c r="A554" s="26" t="str">
        <f>A552</f>
        <v>G01.2</v>
      </c>
      <c r="B554" s="26" t="s">
        <v>93</v>
      </c>
      <c r="C554" s="37" t="str">
        <f>VLOOKUP(B554,'Composição dos serv'!A:I,3,FALSE)</f>
        <v>Demolição de Cercas</v>
      </c>
      <c r="D554" s="26" t="str">
        <f>VLOOKUP(B554,'Composição dos serv'!A:I,4,FALSE)</f>
        <v>m</v>
      </c>
      <c r="E554" s="37">
        <v>20</v>
      </c>
      <c r="F554" s="37">
        <f>ROUNDUP(E554*0.1*1.8,2)</f>
        <v>3.6</v>
      </c>
      <c r="G554" s="38">
        <f>SUMIF('Composição dos serv'!A:A,'PESM Itutinga Piloes pt2'!B554,'Composição dos serv'!I:I)</f>
        <v>0</v>
      </c>
      <c r="H554" s="38">
        <f t="shared" si="149"/>
        <v>0</v>
      </c>
      <c r="I554" s="24"/>
      <c r="J554" s="24"/>
      <c r="K554" s="39">
        <f>SUMIF('Composição dos serv'!A:A,B554,'Composição dos serv'!K:K)</f>
        <v>0.06</v>
      </c>
      <c r="L554" s="40">
        <f t="shared" si="148"/>
        <v>2</v>
      </c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</row>
    <row r="555" spans="1:26" ht="14.25" customHeight="1">
      <c r="A555" s="33" t="str">
        <f>CONCATENATE(A547,".3")</f>
        <v>G01.3</v>
      </c>
      <c r="B555" s="33" t="s">
        <v>99</v>
      </c>
      <c r="C555" s="48" t="str">
        <f>VLOOKUP(B555,'Composição dos serv'!A:I,3,FALSE)</f>
        <v>COBERTURA</v>
      </c>
      <c r="D555" s="48"/>
      <c r="E555" s="48"/>
      <c r="F555" s="48"/>
      <c r="G555" s="48"/>
      <c r="H555" s="48"/>
      <c r="I555" s="24"/>
      <c r="J555" s="24"/>
      <c r="K555" s="39">
        <f>SUMIF('Composição dos serv'!A:A,B555,'Composição dos serv'!K:K)</f>
        <v>0</v>
      </c>
      <c r="L555" s="40">
        <f t="shared" si="148"/>
        <v>0</v>
      </c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</row>
    <row r="556" spans="1:26" ht="14.25" customHeight="1">
      <c r="A556" s="26" t="str">
        <f t="shared" ref="A556:A561" si="150">A555</f>
        <v>G01.3</v>
      </c>
      <c r="B556" s="26" t="s">
        <v>101</v>
      </c>
      <c r="C556" s="37" t="str">
        <f>VLOOKUP(B556,'Composição dos serv'!A:I,3,FALSE)</f>
        <v>Retirada de Estrutura de madeira sem telhas</v>
      </c>
      <c r="D556" s="26" t="str">
        <f>VLOOKUP(B556,'Composição dos serv'!A:I,4,FALSE)</f>
        <v>m²</v>
      </c>
      <c r="E556" s="37">
        <v>13</v>
      </c>
      <c r="F556" s="37">
        <f>ROUNDUP(E556*0.2,2)</f>
        <v>2.6</v>
      </c>
      <c r="G556" s="38">
        <f>SUMIF('Composição dos serv'!A:A,'PESM Itutinga Piloes pt2'!B556,'Composição dos serv'!I:I)</f>
        <v>0</v>
      </c>
      <c r="H556" s="38">
        <f t="shared" ref="H556:H561" si="151">E556*G556</f>
        <v>0</v>
      </c>
      <c r="I556" s="24"/>
      <c r="J556" s="24"/>
      <c r="K556" s="39">
        <f>SUMIF('Composição dos serv'!A:A,B556,'Composição dos serv'!K:K)</f>
        <v>0.03</v>
      </c>
      <c r="L556" s="40">
        <f t="shared" si="148"/>
        <v>1</v>
      </c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spans="1:26" ht="14.25" hidden="1" customHeight="1">
      <c r="A557" s="26" t="str">
        <f t="shared" si="150"/>
        <v>G01.3</v>
      </c>
      <c r="B557" s="26" t="s">
        <v>105</v>
      </c>
      <c r="C557" s="37" t="str">
        <f>VLOOKUP(B557,'Composição dos serv'!A:I,3,FALSE)</f>
        <v>Retirada de Telhas de Barro com Estrutura em madeira (tesouras, treliças,...)</v>
      </c>
      <c r="D557" s="26" t="str">
        <f>VLOOKUP(B557,'Composição dos serv'!A:I,4,FALSE)</f>
        <v>m²</v>
      </c>
      <c r="E557" s="37"/>
      <c r="F557" s="37">
        <f>ROUNDUP(E557*0.08+E557*0.2,2)</f>
        <v>0</v>
      </c>
      <c r="G557" s="38">
        <f>SUMIF('Composição dos serv'!A:A,'PESM Itutinga Piloes pt2'!B557,'Composição dos serv'!I:I)</f>
        <v>0</v>
      </c>
      <c r="H557" s="38">
        <f t="shared" si="151"/>
        <v>0</v>
      </c>
      <c r="I557" s="24"/>
      <c r="J557" s="24"/>
      <c r="K557" s="39">
        <f>SUMIF('Composição dos serv'!A:A,B557,'Composição dos serv'!K:K)</f>
        <v>0.06</v>
      </c>
      <c r="L557" s="40">
        <f t="shared" si="148"/>
        <v>0</v>
      </c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spans="1:26" ht="14.25" hidden="1" customHeight="1">
      <c r="A558" s="26" t="str">
        <f t="shared" si="150"/>
        <v>G01.3</v>
      </c>
      <c r="B558" s="26" t="s">
        <v>111</v>
      </c>
      <c r="C558" s="37" t="str">
        <f>VLOOKUP(B558,'Composição dos serv'!A:I,3,FALSE)</f>
        <v>Retirada de Telhas de amianto Sem Estrutura</v>
      </c>
      <c r="D558" s="26" t="str">
        <f>VLOOKUP(B558,'Composição dos serv'!A:I,4,FALSE)</f>
        <v>m²</v>
      </c>
      <c r="E558" s="37"/>
      <c r="F558" s="37"/>
      <c r="G558" s="38">
        <f>SUMIF('Composição dos serv'!A:A,'PESM Itutinga Piloes pt2'!B558,'Composição dos serv'!I:I)</f>
        <v>0</v>
      </c>
      <c r="H558" s="38">
        <f t="shared" si="151"/>
        <v>0</v>
      </c>
      <c r="I558" s="24"/>
      <c r="J558" s="24"/>
      <c r="K558" s="39">
        <f>SUMIF('Composição dos serv'!A:A,B558,'Composição dos serv'!K:K)</f>
        <v>0.02</v>
      </c>
      <c r="L558" s="40">
        <f t="shared" si="148"/>
        <v>0</v>
      </c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59" spans="1:26" ht="14.25" customHeight="1">
      <c r="A559" s="26" t="str">
        <f t="shared" si="150"/>
        <v>G01.3</v>
      </c>
      <c r="B559" s="26" t="s">
        <v>117</v>
      </c>
      <c r="C559" s="37" t="str">
        <f>VLOOKUP(B559,'Composição dos serv'!A:I,3,FALSE)</f>
        <v>Retirada de Telhas de amianto com Estrutura em madeira (tesouras, treliças,...)</v>
      </c>
      <c r="D559" s="26" t="str">
        <f>VLOOKUP(B559,'Composição dos serv'!A:I,4,FALSE)</f>
        <v>m²</v>
      </c>
      <c r="E559" s="37">
        <v>35</v>
      </c>
      <c r="F559" s="37">
        <f>ROUNDUP(E559*0.1,2)</f>
        <v>3.5</v>
      </c>
      <c r="G559" s="38">
        <f>SUMIF('Composição dos serv'!A:A,'PESM Itutinga Piloes pt2'!B559,'Composição dos serv'!I:I)</f>
        <v>0</v>
      </c>
      <c r="H559" s="38">
        <f t="shared" si="151"/>
        <v>0</v>
      </c>
      <c r="I559" s="24"/>
      <c r="J559" s="24"/>
      <c r="K559" s="39">
        <f>SUMIF('Composição dos serv'!A:A,B559,'Composição dos serv'!K:K)</f>
        <v>0.04</v>
      </c>
      <c r="L559" s="40">
        <f t="shared" si="148"/>
        <v>2</v>
      </c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</row>
    <row r="560" spans="1:26" ht="14.25" hidden="1" customHeight="1">
      <c r="A560" s="26" t="str">
        <f t="shared" si="150"/>
        <v>G01.3</v>
      </c>
      <c r="B560" s="26" t="s">
        <v>121</v>
      </c>
      <c r="C560" s="37" t="str">
        <f>VLOOKUP(B560,'Composição dos serv'!A:I,3,FALSE)</f>
        <v>Retirada de Laje em concreto</v>
      </c>
      <c r="D560" s="26" t="str">
        <f>VLOOKUP(B560,'Composição dos serv'!A:I,4,FALSE)</f>
        <v>m²</v>
      </c>
      <c r="E560" s="37"/>
      <c r="F560" s="37">
        <f>ROUNDUP(E560*0.12,2)</f>
        <v>0</v>
      </c>
      <c r="G560" s="38">
        <f>SUMIF('Composição dos serv'!A:A,'PESM Itutinga Piloes pt2'!B560,'Composição dos serv'!I:I)</f>
        <v>0</v>
      </c>
      <c r="H560" s="38">
        <f t="shared" si="151"/>
        <v>0</v>
      </c>
      <c r="I560" s="24"/>
      <c r="J560" s="24"/>
      <c r="K560" s="39">
        <f>SUMIF('Composição dos serv'!A:A,B560,'Composição dos serv'!K:K)</f>
        <v>0.09</v>
      </c>
      <c r="L560" s="40">
        <f t="shared" si="148"/>
        <v>0</v>
      </c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</row>
    <row r="561" spans="1:23" ht="14.25" hidden="1" customHeight="1">
      <c r="A561" s="26" t="str">
        <f t="shared" si="150"/>
        <v>G01.3</v>
      </c>
      <c r="B561" s="26" t="s">
        <v>129</v>
      </c>
      <c r="C561" s="37" t="str">
        <f>VLOOKUP(B561,'Composição dos serv'!A:I,3,FALSE)</f>
        <v>Retirada de Forros qualquer com sistema de fixação</v>
      </c>
      <c r="D561" s="26" t="str">
        <f>VLOOKUP(B561,'Composição dos serv'!A:I,4,FALSE)</f>
        <v>m²</v>
      </c>
      <c r="E561" s="37"/>
      <c r="F561" s="37">
        <f>ROUNDUP(E561*0.1,2)</f>
        <v>0</v>
      </c>
      <c r="G561" s="38">
        <f>SUMIF('Composição dos serv'!A:A,'PESM Itutinga Piloes pt2'!B561,'Composição dos serv'!I:I)</f>
        <v>0</v>
      </c>
      <c r="H561" s="38">
        <f t="shared" si="151"/>
        <v>0</v>
      </c>
      <c r="I561" s="24"/>
      <c r="J561" s="24"/>
      <c r="K561" s="39">
        <f>SUMIF('Composição dos serv'!A:A,B561,'Composição dos serv'!K:K)</f>
        <v>0.04</v>
      </c>
      <c r="L561" s="40">
        <f t="shared" si="148"/>
        <v>0</v>
      </c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</row>
    <row r="562" spans="1:23" ht="14.25" customHeight="1">
      <c r="A562" s="33" t="str">
        <f>CONCATENATE(A547,".4")</f>
        <v>G01.4</v>
      </c>
      <c r="B562" s="33" t="s">
        <v>133</v>
      </c>
      <c r="C562" s="34" t="str">
        <f>VLOOKUP(B562,'Composição dos serv'!A:I,3,FALSE)</f>
        <v>PAREDES</v>
      </c>
      <c r="D562" s="35"/>
      <c r="E562" s="35"/>
      <c r="F562" s="35"/>
      <c r="G562" s="35"/>
      <c r="H562" s="36"/>
      <c r="I562" s="24"/>
      <c r="J562" s="24"/>
      <c r="K562" s="39">
        <f>SUMIF('Composição dos serv'!A:A,B562,'Composição dos serv'!K:K)</f>
        <v>0</v>
      </c>
      <c r="L562" s="40">
        <f t="shared" si="148"/>
        <v>0</v>
      </c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</row>
    <row r="563" spans="1:23" ht="14.25" customHeight="1">
      <c r="A563" s="26" t="str">
        <f>A562</f>
        <v>G01.4</v>
      </c>
      <c r="B563" s="26" t="s">
        <v>135</v>
      </c>
      <c r="C563" s="37" t="str">
        <f>VLOOKUP(B563,'Composição dos serv'!A:I,3,FALSE)</f>
        <v>Parede em Alvenaria - usar área construida</v>
      </c>
      <c r="D563" s="26" t="str">
        <f>VLOOKUP(B563,'Composição dos serv'!A:I,4,FALSE)</f>
        <v>m²</v>
      </c>
      <c r="E563" s="49">
        <v>35</v>
      </c>
      <c r="F563" s="37">
        <f>ROUNDUP(E563*0.8,2)</f>
        <v>28</v>
      </c>
      <c r="G563" s="38">
        <f>SUMIF('Composição dos serv'!A:A,B563,'Composição dos serv'!I:I)</f>
        <v>0</v>
      </c>
      <c r="H563" s="38">
        <f t="shared" ref="H563:H565" si="152">E563*G563</f>
        <v>0</v>
      </c>
      <c r="I563" s="24"/>
      <c r="J563" s="24"/>
      <c r="K563" s="39">
        <f>SUMIF('Composição dos serv'!A:A,B563,'Composição dos serv'!K:K)</f>
        <v>0.15000000000000002</v>
      </c>
      <c r="L563" s="40">
        <f t="shared" si="148"/>
        <v>6</v>
      </c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</row>
    <row r="564" spans="1:23" ht="14.25" hidden="1" customHeight="1">
      <c r="A564" s="26" t="str">
        <f>A562</f>
        <v>G01.4</v>
      </c>
      <c r="B564" s="26" t="s">
        <v>143</v>
      </c>
      <c r="C564" s="37" t="str">
        <f>VLOOKUP(B564,'Composição dos serv'!A:I,3,FALSE)</f>
        <v>Parede em Madeirite - Chapas de madeira compensada ou aglomerada - área construída</v>
      </c>
      <c r="D564" s="26" t="str">
        <f>VLOOKUP(B564,'Composição dos serv'!A:I,4,FALSE)</f>
        <v>m²</v>
      </c>
      <c r="E564" s="37"/>
      <c r="F564" s="37">
        <f>ROUNDUP(E564*0.21,2)</f>
        <v>0</v>
      </c>
      <c r="G564" s="38">
        <f>SUMIF('Composição dos serv'!A:A,B564,'Composição dos serv'!I:I)</f>
        <v>0</v>
      </c>
      <c r="H564" s="38">
        <f t="shared" si="152"/>
        <v>0</v>
      </c>
      <c r="I564" s="24"/>
      <c r="J564" s="24"/>
      <c r="K564" s="39">
        <f>SUMIF('Composição dos serv'!A:A,B564,'Composição dos serv'!K:K)</f>
        <v>0.15000000000000002</v>
      </c>
      <c r="L564" s="40">
        <f t="shared" si="148"/>
        <v>0</v>
      </c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</row>
    <row r="565" spans="1:23" ht="14.25" hidden="1" customHeight="1">
      <c r="A565" s="26" t="str">
        <f>A562</f>
        <v>G01.4</v>
      </c>
      <c r="B565" s="26" t="s">
        <v>145</v>
      </c>
      <c r="C565" s="37" t="str">
        <f>VLOOKUP(B565,'Composição dos serv'!A:I,3,FALSE)</f>
        <v>Parede em Lambril de madeira - área construída</v>
      </c>
      <c r="D565" s="26" t="str">
        <f>VLOOKUP(B565,'Composição dos serv'!A:I,4,FALSE)</f>
        <v>m²</v>
      </c>
      <c r="E565" s="37"/>
      <c r="F565" s="37">
        <f>ROUNDUP(E565*4*0.12,2)</f>
        <v>0</v>
      </c>
      <c r="G565" s="38">
        <f>SUMIF('Composição dos serv'!A:A,B565,'Composição dos serv'!I:I)</f>
        <v>0</v>
      </c>
      <c r="H565" s="38">
        <f t="shared" si="152"/>
        <v>0</v>
      </c>
      <c r="I565" s="24"/>
      <c r="J565" s="24"/>
      <c r="K565" s="39">
        <f>SUMIF('Composição dos serv'!A:A,B565,'Composição dos serv'!K:K)</f>
        <v>0.35000000000000009</v>
      </c>
      <c r="L565" s="40">
        <f t="shared" si="148"/>
        <v>0</v>
      </c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</row>
    <row r="566" spans="1:23" ht="14.25" customHeight="1">
      <c r="A566" s="33" t="str">
        <f>CONCATENATE(A547,".5")</f>
        <v>G01.5</v>
      </c>
      <c r="B566" s="33" t="s">
        <v>153</v>
      </c>
      <c r="C566" s="34" t="str">
        <f>VLOOKUP(B566,'Composição dos serv'!A:I,3,FALSE)</f>
        <v>PISO E FUNDAÇÃO</v>
      </c>
      <c r="D566" s="35"/>
      <c r="E566" s="35"/>
      <c r="F566" s="35"/>
      <c r="G566" s="35"/>
      <c r="H566" s="36"/>
      <c r="I566" s="24"/>
      <c r="J566" s="24"/>
      <c r="K566" s="39">
        <f>SUMIF('Composição dos serv'!A:A,B566,'Composição dos serv'!K:K)</f>
        <v>0</v>
      </c>
      <c r="L566" s="40">
        <f t="shared" si="148"/>
        <v>0</v>
      </c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</row>
    <row r="567" spans="1:23" ht="14.25" hidden="1" customHeight="1">
      <c r="A567" s="26" t="str">
        <f>A566</f>
        <v>G01.5</v>
      </c>
      <c r="B567" s="26" t="s">
        <v>155</v>
      </c>
      <c r="C567" s="37" t="str">
        <f>VLOOKUP(B567,'Composição dos serv'!A:I,3,FALSE)</f>
        <v>Piso da edificação com fundação</v>
      </c>
      <c r="D567" s="26" t="str">
        <f>VLOOKUP(B567,'Composição dos serv'!A:I,4,FALSE)</f>
        <v>m²</v>
      </c>
      <c r="E567" s="37"/>
      <c r="F567" s="37">
        <f>ROUNDUP(E567*0.24,2)</f>
        <v>0</v>
      </c>
      <c r="G567" s="38">
        <f>SUMIF('Composição dos serv'!A:A,B567,'Composição dos serv'!I:I)</f>
        <v>0</v>
      </c>
      <c r="H567" s="38">
        <f>E567*G567</f>
        <v>0</v>
      </c>
      <c r="I567" s="24"/>
      <c r="J567" s="24"/>
      <c r="K567" s="39">
        <f>SUMIF('Composição dos serv'!A:A,B567,'Composição dos serv'!K:K)</f>
        <v>0.17</v>
      </c>
      <c r="L567" s="40">
        <f t="shared" si="148"/>
        <v>0</v>
      </c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</row>
    <row r="568" spans="1:23" ht="14.25" customHeight="1">
      <c r="A568" s="33" t="str">
        <f>CONCATENATE(A547,".6")</f>
        <v>G01.6</v>
      </c>
      <c r="B568" s="33" t="s">
        <v>161</v>
      </c>
      <c r="C568" s="48" t="str">
        <f>VLOOKUP(B568,'Composição dos serv'!A:I,3,FALSE)</f>
        <v>ESTRUTURAS DIVERSAS</v>
      </c>
      <c r="D568" s="48"/>
      <c r="E568" s="48"/>
      <c r="F568" s="48"/>
      <c r="G568" s="48"/>
      <c r="H568" s="48"/>
      <c r="I568" s="24"/>
      <c r="J568" s="24"/>
      <c r="K568" s="39">
        <f>SUMIF('Composição dos serv'!A:A,B568,'Composição dos serv'!K:K)</f>
        <v>0</v>
      </c>
      <c r="L568" s="40">
        <f t="shared" si="148"/>
        <v>0</v>
      </c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</row>
    <row r="569" spans="1:23" ht="14.25" hidden="1" customHeight="1">
      <c r="A569" s="26" t="str">
        <f>A568</f>
        <v>G01.6</v>
      </c>
      <c r="B569" s="26" t="s">
        <v>163</v>
      </c>
      <c r="C569" s="37" t="str">
        <f>VLOOKUP(B569,'Composição dos serv'!A:I,3,FALSE)</f>
        <v>Escada em concreto com corrimão</v>
      </c>
      <c r="D569" s="26" t="str">
        <f>VLOOKUP(B569,'Composição dos serv'!A:I,4,FALSE)</f>
        <v>m</v>
      </c>
      <c r="E569" s="49"/>
      <c r="F569" s="37">
        <f>ROUNDUP(E569*1.2*0.25,2)</f>
        <v>0</v>
      </c>
      <c r="G569" s="38">
        <f>SUMIF('Composição dos serv'!A:A,'PESM Itutinga Piloes pt2'!B569,'Composição dos serv'!I:I)</f>
        <v>0</v>
      </c>
      <c r="H569" s="38">
        <f t="shared" ref="H569:H572" si="153">E569*G569</f>
        <v>0</v>
      </c>
      <c r="I569" s="24"/>
      <c r="J569" s="24"/>
      <c r="K569" s="39">
        <f>SUMIF('Composição dos serv'!A:A,B569,'Composição dos serv'!K:K)</f>
        <v>0.39</v>
      </c>
      <c r="L569" s="40">
        <f t="shared" si="148"/>
        <v>0</v>
      </c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</row>
    <row r="570" spans="1:23" ht="14.25" customHeight="1">
      <c r="A570" s="26" t="str">
        <f>A568</f>
        <v>G01.6</v>
      </c>
      <c r="B570" s="26" t="s">
        <v>169</v>
      </c>
      <c r="C570" s="37" t="str">
        <f>VLOOKUP(B570,'Composição dos serv'!A:I,3,FALSE)</f>
        <v>Entrada de Energia - medidor</v>
      </c>
      <c r="D570" s="26" t="str">
        <f>VLOOKUP(B570,'Composição dos serv'!A:I,4,FALSE)</f>
        <v>un</v>
      </c>
      <c r="E570" s="37">
        <v>1</v>
      </c>
      <c r="F570" s="37">
        <f>ROUNDUP(E570*(3.2+(((3.1415*0.4^2)/4)*6)),2)</f>
        <v>3.96</v>
      </c>
      <c r="G570" s="38">
        <f>SUMIF('Composição dos serv'!A:A,'PESM Itutinga Piloes pt2'!B570,'Composição dos serv'!I:I)</f>
        <v>0</v>
      </c>
      <c r="H570" s="38">
        <f t="shared" si="153"/>
        <v>0</v>
      </c>
      <c r="I570" s="24"/>
      <c r="J570" s="24"/>
      <c r="K570" s="39">
        <f>SUMIF('Composição dos serv'!A:A,B570,'Composição dos serv'!K:K)</f>
        <v>1.7600000000000002</v>
      </c>
      <c r="L570" s="40">
        <f t="shared" si="148"/>
        <v>2</v>
      </c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</row>
    <row r="571" spans="1:23" ht="14.25" customHeight="1">
      <c r="A571" s="26" t="str">
        <f>A568</f>
        <v>G01.6</v>
      </c>
      <c r="B571" s="26" t="s">
        <v>183</v>
      </c>
      <c r="C571" s="37" t="str">
        <f>VLOOKUP(B571,'Composição dos serv'!A:I,3,FALSE)</f>
        <v>Hidrômetro com abrigo</v>
      </c>
      <c r="D571" s="26" t="str">
        <f>VLOOKUP(B571,'Composição dos serv'!A:I,4,FALSE)</f>
        <v>un</v>
      </c>
      <c r="E571" s="37">
        <v>1</v>
      </c>
      <c r="F571" s="37">
        <f>ROUNDUP(E571*(1.7+0.1),2)</f>
        <v>1.8</v>
      </c>
      <c r="G571" s="38">
        <f>SUMIF('Composição dos serv'!A:A,'PESM Itutinga Piloes pt2'!B571,'Composição dos serv'!I:I)</f>
        <v>0</v>
      </c>
      <c r="H571" s="38">
        <f t="shared" si="153"/>
        <v>0</v>
      </c>
      <c r="I571" s="24"/>
      <c r="J571" s="24"/>
      <c r="K571" s="39">
        <f>SUMIF('Composição dos serv'!A:A,B571,'Composição dos serv'!K:K)</f>
        <v>0.44000000000000006</v>
      </c>
      <c r="L571" s="40">
        <f t="shared" si="148"/>
        <v>1</v>
      </c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</row>
    <row r="572" spans="1:23" ht="14.25" customHeight="1">
      <c r="A572" s="26" t="str">
        <f>A570</f>
        <v>G01.6</v>
      </c>
      <c r="B572" s="26" t="s">
        <v>191</v>
      </c>
      <c r="C572" s="37" t="str">
        <f>VLOOKUP(B572,'Composição dos serv'!A:I,3,FALSE)</f>
        <v>Aterro de Fossa com retirada de tampa</v>
      </c>
      <c r="D572" s="26" t="str">
        <f>VLOOKUP(B572,'Composição dos serv'!A:I,4,FALSE)</f>
        <v>un</v>
      </c>
      <c r="E572" s="37">
        <v>1</v>
      </c>
      <c r="F572" s="37">
        <f>ROUNDUP(E572*(0.4),2)</f>
        <v>0.4</v>
      </c>
      <c r="G572" s="38">
        <f>SUMIF('Composição dos serv'!A:A,'PESM Itutinga Piloes pt2'!B572,'Composição dos serv'!I:I)</f>
        <v>0</v>
      </c>
      <c r="H572" s="38">
        <f t="shared" si="153"/>
        <v>0</v>
      </c>
      <c r="I572" s="24"/>
      <c r="J572" s="24"/>
      <c r="K572" s="39">
        <f>SUMIF('Composição dos serv'!A:A,B572,'Composição dos serv'!K:K)</f>
        <v>0.85000000000000009</v>
      </c>
      <c r="L572" s="40">
        <f t="shared" si="148"/>
        <v>1</v>
      </c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spans="1:23" ht="14.25" customHeight="1">
      <c r="A573" s="33" t="str">
        <f>CONCATENATE(A547,".7")</f>
        <v>G01.7</v>
      </c>
      <c r="B573" s="33" t="s">
        <v>195</v>
      </c>
      <c r="C573" s="48" t="str">
        <f>VLOOKUP(B573,'Composição dos serv'!A:I,3,FALSE)</f>
        <v>ACABAMENTOS DIVERSOS e OUTROS</v>
      </c>
      <c r="D573" s="48"/>
      <c r="E573" s="48"/>
      <c r="F573" s="48"/>
      <c r="G573" s="48"/>
      <c r="H573" s="48"/>
      <c r="I573" s="24"/>
      <c r="J573" s="24"/>
      <c r="K573" s="39">
        <f>SUMIF('Composição dos serv'!A:A,B573,'Composição dos serv'!K:K)</f>
        <v>0</v>
      </c>
      <c r="L573" s="40">
        <f t="shared" si="148"/>
        <v>0</v>
      </c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spans="1:23" ht="14.25" customHeight="1">
      <c r="A574" s="26" t="str">
        <f>A573</f>
        <v>G01.7</v>
      </c>
      <c r="B574" s="50" t="s">
        <v>197</v>
      </c>
      <c r="C574" s="49" t="str">
        <f>VLOOKUP(B574,'Composição dos serv'!A:I,3,FALSE)</f>
        <v>Remoção de aparelhos sanitarios - por banheiro</v>
      </c>
      <c r="D574" s="50" t="str">
        <f>VLOOKUP(B574,'Composição dos serv'!A:I,4,FALSE)</f>
        <v>unid</v>
      </c>
      <c r="E574" s="49">
        <v>2</v>
      </c>
      <c r="F574" s="37">
        <f t="shared" ref="F574:F576" si="154">ROUNDUP(E574*1,2)</f>
        <v>2</v>
      </c>
      <c r="G574" s="51">
        <f>SUMIF('Composição dos serv'!A:A,B574,'Composição dos serv'!I:I)</f>
        <v>0</v>
      </c>
      <c r="H574" s="51">
        <f t="shared" ref="H574:H580" si="155">E574*G574</f>
        <v>0</v>
      </c>
      <c r="I574" s="24"/>
      <c r="J574" s="24"/>
      <c r="K574" s="39">
        <f>SUMIF('Composição dos serv'!A:A,B574,'Composição dos serv'!K:K)</f>
        <v>0.19</v>
      </c>
      <c r="L574" s="40">
        <f t="shared" si="148"/>
        <v>1</v>
      </c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spans="1:23" ht="14.25" customHeight="1">
      <c r="A575" s="26" t="str">
        <f>A573</f>
        <v>G01.7</v>
      </c>
      <c r="B575" s="50" t="s">
        <v>209</v>
      </c>
      <c r="C575" s="37" t="str">
        <f>VLOOKUP(B575,'Composição dos serv'!A:I,3,FALSE)</f>
        <v>Remoção de aparelhos sanitarios - Cozinha e Área de Serviço</v>
      </c>
      <c r="D575" s="26" t="str">
        <f>VLOOKUP(B575,'Composição dos serv'!A:I,4,FALSE)</f>
        <v>unid</v>
      </c>
      <c r="E575" s="37">
        <v>2</v>
      </c>
      <c r="F575" s="37">
        <f t="shared" si="154"/>
        <v>2</v>
      </c>
      <c r="G575" s="51">
        <f>SUMIF('Composição dos serv'!A:A,B575,'Composição dos serv'!I:I)</f>
        <v>0</v>
      </c>
      <c r="H575" s="38">
        <f t="shared" si="155"/>
        <v>0</v>
      </c>
      <c r="I575" s="24"/>
      <c r="J575" s="24"/>
      <c r="K575" s="39">
        <f>SUMIF('Composição dos serv'!A:A,B575,'Composição dos serv'!K:K)</f>
        <v>0.21</v>
      </c>
      <c r="L575" s="40">
        <f t="shared" si="148"/>
        <v>1</v>
      </c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</row>
    <row r="576" spans="1:23" ht="14.25" customHeight="1">
      <c r="A576" s="26" t="str">
        <f>A573</f>
        <v>G01.7</v>
      </c>
      <c r="B576" s="50" t="s">
        <v>215</v>
      </c>
      <c r="C576" s="37" t="str">
        <f>VLOOKUP(B576,'Composição dos serv'!A:I,3,FALSE)</f>
        <v>Remoção de caixa d'agua</v>
      </c>
      <c r="D576" s="26" t="str">
        <f>VLOOKUP(B576,'Composição dos serv'!A:I,4,FALSE)</f>
        <v>unid</v>
      </c>
      <c r="E576" s="37">
        <v>1</v>
      </c>
      <c r="F576" s="37">
        <f t="shared" si="154"/>
        <v>1</v>
      </c>
      <c r="G576" s="51">
        <f>SUMIF('Composição dos serv'!A:A,B576,'Composição dos serv'!I:I)</f>
        <v>0</v>
      </c>
      <c r="H576" s="38">
        <f t="shared" si="155"/>
        <v>0</v>
      </c>
      <c r="I576" s="24"/>
      <c r="J576" s="24"/>
      <c r="K576" s="39">
        <f>SUMIF('Composição dos serv'!A:A,B576,'Composição dos serv'!K:K)</f>
        <v>0.42000000000000004</v>
      </c>
      <c r="L576" s="40">
        <f t="shared" si="148"/>
        <v>1</v>
      </c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</row>
    <row r="577" spans="1:26" ht="14.25" hidden="1" customHeight="1">
      <c r="A577" s="26" t="str">
        <f>A573</f>
        <v>G01.7</v>
      </c>
      <c r="B577" s="50" t="s">
        <v>219</v>
      </c>
      <c r="C577" s="37" t="str">
        <f>VLOOKUP(B577,'Composição dos serv'!A:I,3,FALSE)</f>
        <v>Remoção do Sistema de Para raios - área do telhado</v>
      </c>
      <c r="D577" s="26" t="str">
        <f>VLOOKUP(B577,'Composição dos serv'!A:I,4,FALSE)</f>
        <v>m²</v>
      </c>
      <c r="E577" s="37"/>
      <c r="F577" s="37">
        <f>ROUNDUP(E577/60,2)</f>
        <v>0</v>
      </c>
      <c r="G577" s="51">
        <f>SUMIF('Composição dos serv'!A:A,B577,'Composição dos serv'!I:I)</f>
        <v>0</v>
      </c>
      <c r="H577" s="38">
        <f t="shared" si="155"/>
        <v>0</v>
      </c>
      <c r="I577" s="24"/>
      <c r="J577" s="24"/>
      <c r="K577" s="39">
        <f>SUMIF('Composição dos serv'!A:A,B577,'Composição dos serv'!K:K)</f>
        <v>0.05</v>
      </c>
      <c r="L577" s="40">
        <f t="shared" si="148"/>
        <v>0</v>
      </c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</row>
    <row r="578" spans="1:26" ht="14.25" customHeight="1">
      <c r="A578" s="26" t="str">
        <f>A573</f>
        <v>G01.7</v>
      </c>
      <c r="B578" s="50" t="s">
        <v>227</v>
      </c>
      <c r="C578" s="37" t="str">
        <f>VLOOKUP(B578,'Composição dos serv'!A:I,3,FALSE)</f>
        <v>Janelas</v>
      </c>
      <c r="D578" s="26" t="str">
        <f>VLOOKUP(B578,'Composição dos serv'!A:I,4,FALSE)</f>
        <v>un</v>
      </c>
      <c r="E578" s="37">
        <v>3</v>
      </c>
      <c r="F578" s="37">
        <f>ROUNDUP(E578*1.5*1.2*0.2,2)</f>
        <v>1.08</v>
      </c>
      <c r="G578" s="51">
        <f>SUMIF('Composição dos serv'!A:A,B578,'Composição dos serv'!I:I)</f>
        <v>0</v>
      </c>
      <c r="H578" s="38">
        <f t="shared" si="155"/>
        <v>0</v>
      </c>
      <c r="I578" s="24"/>
      <c r="J578" s="24"/>
      <c r="K578" s="39">
        <f>SUMIF('Composição dos serv'!A:A,B578,'Composição dos serv'!K:K)</f>
        <v>0</v>
      </c>
      <c r="L578" s="40">
        <f t="shared" si="148"/>
        <v>0</v>
      </c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</row>
    <row r="579" spans="1:26" ht="14.25" customHeight="1">
      <c r="A579" s="26" t="str">
        <f>A573</f>
        <v>G01.7</v>
      </c>
      <c r="B579" s="50" t="s">
        <v>234</v>
      </c>
      <c r="C579" s="37" t="str">
        <f>VLOOKUP(B579,'Composição dos serv'!A:I,3,FALSE)</f>
        <v>Portas</v>
      </c>
      <c r="D579" s="26" t="str">
        <f>VLOOKUP(B579,'Composição dos serv'!A:I,4,FALSE)</f>
        <v>un</v>
      </c>
      <c r="E579" s="37">
        <v>4</v>
      </c>
      <c r="F579" s="37">
        <f>ROUNDUP(E579*2.1*0.9*0.2,2)</f>
        <v>1.52</v>
      </c>
      <c r="G579" s="51">
        <f>SUMIF('Composição dos serv'!A:A,B579,'Composição dos serv'!I:I)</f>
        <v>0</v>
      </c>
      <c r="H579" s="38">
        <f t="shared" si="155"/>
        <v>0</v>
      </c>
      <c r="I579" s="24"/>
      <c r="J579" s="24"/>
      <c r="K579" s="39">
        <f>SUMIF('Composição dos serv'!A:A,B579,'Composição dos serv'!K:K)</f>
        <v>0</v>
      </c>
      <c r="L579" s="40">
        <f t="shared" si="148"/>
        <v>0</v>
      </c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</row>
    <row r="580" spans="1:26" ht="14.25" hidden="1" customHeight="1">
      <c r="A580" s="26" t="str">
        <f>A573</f>
        <v>G01.7</v>
      </c>
      <c r="B580" s="50" t="s">
        <v>236</v>
      </c>
      <c r="C580" s="37" t="str">
        <f>VLOOKUP(B580,'Composição dos serv'!A:I,3,FALSE)</f>
        <v>Guarda corpo de metal</v>
      </c>
      <c r="D580" s="26" t="str">
        <f>VLOOKUP(B580,'Composição dos serv'!A:I,4,FALSE)</f>
        <v>m</v>
      </c>
      <c r="E580" s="37"/>
      <c r="F580" s="37">
        <f>ROUNDUP(E580*1.7*0.05,2)</f>
        <v>0</v>
      </c>
      <c r="G580" s="51">
        <f>SUMIF('Composição dos serv'!A:A,B580,'Composição dos serv'!I:I)</f>
        <v>0</v>
      </c>
      <c r="H580" s="38">
        <f t="shared" si="155"/>
        <v>0</v>
      </c>
      <c r="I580" s="24"/>
      <c r="J580" s="24"/>
      <c r="K580" s="39">
        <f>SUMIF('Composição dos serv'!A:A,B580,'Composição dos serv'!K:K)</f>
        <v>0</v>
      </c>
      <c r="L580" s="40">
        <f t="shared" si="148"/>
        <v>0</v>
      </c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</row>
    <row r="581" spans="1:26" ht="14.25" customHeight="1">
      <c r="A581" s="33" t="str">
        <f>CONCATENATE(A547,".8")</f>
        <v>G01.8</v>
      </c>
      <c r="B581" s="33" t="s">
        <v>240</v>
      </c>
      <c r="C581" s="48" t="str">
        <f>VLOOKUP(B581,'Composição dos serv'!A:I,3,FALSE)</f>
        <v>ENTULHO</v>
      </c>
      <c r="D581" s="48"/>
      <c r="E581" s="48"/>
      <c r="F581" s="48"/>
      <c r="G581" s="48"/>
      <c r="H581" s="48"/>
      <c r="I581" s="24"/>
      <c r="J581" s="24"/>
      <c r="K581" s="39">
        <f>SUMIF('Composição dos serv'!A:A,B581,'Composição dos serv'!K:K)</f>
        <v>0</v>
      </c>
      <c r="L581" s="40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</row>
    <row r="582" spans="1:26" ht="14.25" hidden="1" customHeight="1">
      <c r="A582" s="26" t="str">
        <f>A581</f>
        <v>G01.8</v>
      </c>
      <c r="B582" s="50" t="s">
        <v>242</v>
      </c>
      <c r="C582" s="49" t="str">
        <f>VLOOKUP(B582,'Composição dos serv'!A:I,3,FALSE)</f>
        <v>Transporte e espalhamento Manual do entulho a ser reutilizado</v>
      </c>
      <c r="D582" s="50" t="s">
        <v>291</v>
      </c>
      <c r="E582" s="49"/>
      <c r="F582" s="52">
        <f>IF(E582=1,ROUNDUP((IF(E550&lt;&gt;"",F550,0)+IF(E551&lt;&gt;"",F551,0)+IF(E553&lt;&gt;"",F553,0)+IF(E554&lt;&gt;"",F554*0.34,0)+IF(E557&lt;&gt;"",F557*0.43,0)+IF(E560&lt;&gt;"",F560*0.8,0)+IF(E563&lt;&gt;"",F563*(0.78),0)+IF(E567&lt;&gt;"",F567*0.98,0)+IF(E569&lt;&gt;"",F569*0.91,0)+IF(E570&lt;&gt;"",F570*0.26,0)+IF(E571&lt;&gt;"",F571*0.24,0)+IF(E572&lt;&gt;"",F572,0)),2),0)</f>
        <v>0</v>
      </c>
      <c r="G582" s="51">
        <f>SUMIF('Composição dos serv'!A:A,B582,'Composição dos serv'!I:I)</f>
        <v>0</v>
      </c>
      <c r="H582" s="51">
        <f t="shared" ref="H582:H583" si="156">F582*G582</f>
        <v>0</v>
      </c>
      <c r="I582" s="24"/>
      <c r="J582" s="24"/>
      <c r="K582" s="39">
        <f>SUMIF('Composição dos serv'!A:A,B582,'Composição dos serv'!K:K)</f>
        <v>0.15000000000000002</v>
      </c>
      <c r="L582" s="40">
        <f t="shared" ref="L582:L585" si="157">ROUNDUP(K582*F582,0)</f>
        <v>0</v>
      </c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</row>
    <row r="583" spans="1:26" ht="14.25" hidden="1" customHeight="1">
      <c r="A583" s="26" t="str">
        <f>A581</f>
        <v>G01.8</v>
      </c>
      <c r="B583" s="50" t="s">
        <v>246</v>
      </c>
      <c r="C583" s="49" t="str">
        <f>VLOOKUP(B583,'Composição dos serv'!A:I,3,FALSE)</f>
        <v>Remoção e Transporte Mecanizado do entulho a ser reutilizado</v>
      </c>
      <c r="D583" s="50" t="s">
        <v>291</v>
      </c>
      <c r="E583" s="49"/>
      <c r="F583" s="52">
        <f>IF(E583=1,SUM(F550:F580)-H587,0)</f>
        <v>0</v>
      </c>
      <c r="G583" s="51">
        <f>SUMIF('Composição dos serv'!A:A,B583,'Composição dos serv'!I:I)</f>
        <v>0</v>
      </c>
      <c r="H583" s="51">
        <f t="shared" si="156"/>
        <v>0</v>
      </c>
      <c r="I583" s="24"/>
      <c r="J583" s="24"/>
      <c r="K583" s="39">
        <f>SUMIF('Composição dos serv'!A:A,B583,'Composição dos serv'!K:K)</f>
        <v>0.02</v>
      </c>
      <c r="L583" s="40">
        <f t="shared" si="157"/>
        <v>0</v>
      </c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</row>
    <row r="584" spans="1:26" ht="14.25" customHeight="1">
      <c r="A584" s="26" t="str">
        <f>A581</f>
        <v>G01.8</v>
      </c>
      <c r="B584" s="50" t="s">
        <v>252</v>
      </c>
      <c r="C584" s="49" t="str">
        <f>VLOOKUP(B584,'Composição dos serv'!A:I,3,FALSE)</f>
        <v>Remoção do entulho com caçamba</v>
      </c>
      <c r="D584" s="50" t="s">
        <v>291</v>
      </c>
      <c r="E584" s="49">
        <v>1</v>
      </c>
      <c r="F584" s="52">
        <f>IF(E584=1,SUM(F550:F580),0)</f>
        <v>60.16</v>
      </c>
      <c r="G584" s="51">
        <f>SUMIF('Composição dos serv'!A:A,B584,'Composição dos serv'!I:I)</f>
        <v>0</v>
      </c>
      <c r="H584" s="51">
        <f>IF(E584&gt;1,"OPÇÃO ERRADA",F584*G584)+IF(G587=1,H587*G584,0)</f>
        <v>0</v>
      </c>
      <c r="I584" s="24"/>
      <c r="J584" s="24"/>
      <c r="K584" s="39">
        <f>SUMIF('Composição dos serv'!A:A,B584,'Composição dos serv'!K:K)</f>
        <v>0.02</v>
      </c>
      <c r="L584" s="40">
        <f t="shared" si="157"/>
        <v>2</v>
      </c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</row>
    <row r="585" spans="1:26" ht="14.25" hidden="1" customHeight="1">
      <c r="A585" s="26" t="str">
        <f>A581</f>
        <v>G01.8</v>
      </c>
      <c r="B585" s="50" t="s">
        <v>256</v>
      </c>
      <c r="C585" s="49" t="str">
        <f>VLOOKUP(B585,'Composição dos serv'!A:I,3,FALSE)</f>
        <v>Remoção e Transporte Mecanizado do entulho para bota fora</v>
      </c>
      <c r="D585" s="50" t="s">
        <v>291</v>
      </c>
      <c r="E585" s="49"/>
      <c r="F585" s="52">
        <f>IF(E585=1,SUM(F550:F580),0)</f>
        <v>0</v>
      </c>
      <c r="G585" s="51">
        <f>SUMIF('Composição dos serv'!A:A,B585,'Composição dos serv'!I:I)</f>
        <v>0</v>
      </c>
      <c r="H585" s="51">
        <f>IF(E585&gt;1,"OPÇÃO ERRADA",F585*G585)+IF(G587=2,H587*G585,0)</f>
        <v>0</v>
      </c>
      <c r="I585" s="24"/>
      <c r="J585" s="24"/>
      <c r="K585" s="39">
        <f>SUMIF('Composição dos serv'!A:A,B585,'Composição dos serv'!K:K)</f>
        <v>7.9999999999999988E-2</v>
      </c>
      <c r="L585" s="40">
        <f t="shared" si="157"/>
        <v>0</v>
      </c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</row>
    <row r="586" spans="1:26" ht="14.25" customHeight="1">
      <c r="A586" s="26" t="str">
        <f>A581</f>
        <v>G01.8</v>
      </c>
      <c r="B586" s="50" t="s">
        <v>264</v>
      </c>
      <c r="C586" s="49" t="str">
        <f>VLOOKUP(B586,'Composição dos serv'!A:I,3,FALSE)</f>
        <v>Remoção de telhas em cimento amianto</v>
      </c>
      <c r="D586" s="26" t="str">
        <f>VLOOKUP(B586,'Composição dos serv'!A:I,4,FALSE)</f>
        <v>m²</v>
      </c>
      <c r="E586" s="49">
        <f>SUM(E558:E559)</f>
        <v>35</v>
      </c>
      <c r="F586" s="52"/>
      <c r="G586" s="51">
        <f>SUMIF('Composição dos serv'!A:A,B586,'Composição dos serv'!I:I)</f>
        <v>0</v>
      </c>
      <c r="H586" s="51">
        <f>G586*E586</f>
        <v>0</v>
      </c>
      <c r="I586" s="24"/>
      <c r="J586" s="24"/>
      <c r="K586" s="39"/>
      <c r="L586" s="40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</row>
    <row r="587" spans="1:26" ht="14.25" customHeight="1">
      <c r="A587" s="53"/>
      <c r="B587" s="53"/>
      <c r="C587" s="37" t="str">
        <f>IF(E584&lt;&gt;1,IF(E585&lt;&gt;1,IF(H587&lt;&gt;0,"Há Material não reutilizavel qual a destinação para ele?",""),""),"")</f>
        <v/>
      </c>
      <c r="D587" s="168" t="str">
        <f>IF(E584&lt;&gt;1,IF(E585&lt;&gt;1,IF(H587&lt;&gt;0,"Caçamba = 1; Aterro = 2",""),""),"")</f>
        <v/>
      </c>
      <c r="E587" s="169"/>
      <c r="F587" s="170"/>
      <c r="G587" s="37">
        <v>1</v>
      </c>
      <c r="H587" s="54">
        <f>IF(E584=1,0,IF(E585=1,0,ROUNDUP((IF(E554&lt;&gt;"",F554*0.66,0)+IF(E557&lt;&gt;"",F557*0.57,0)+IF(E559&lt;&gt;"",F559,0)+IF(E560&lt;&gt;"",F560*0.2,0)+IF(E561&lt;&gt;"",F561,0)+IF(E563&lt;&gt;"",F563*0.22,0)+IF(E564&lt;&gt;"",F564,0)+IF(E565&lt;&gt;"",F565,0)+IF(E567&lt;&gt;"",F567*0.02,0)+IF(E569&lt;&gt;"",F569*0.09,0)+IF(E570&lt;&gt;"",F570*0.74,0)+IF(E571&lt;&gt;"",F571*(1-0.24),0)+IF(E574&lt;&gt;"",F574,0)+IF(E575&lt;&gt;"",F575,0)+IF(E576&lt;&gt;"",F576,0)+IF(E577&lt;&gt;"",F577,0)+IF(E578&lt;&gt;"",F578,0)+IF(E579&lt;&gt;"",F579,0)+IF(E580&lt;&gt;"",F580,0)+IF(E558&lt;&gt;"",F558,0)+IF(E556&lt;&gt;"",F556,0)),2)))</f>
        <v>0</v>
      </c>
      <c r="I587" s="24"/>
      <c r="J587" s="24"/>
      <c r="K587" s="39"/>
      <c r="L587" s="40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</row>
    <row r="588" spans="1:26" ht="6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39">
        <f>SUMIF('Composição dos serv'!A:A,'PESM Itutinga Piloes pt2'!B588,'Composição dos serv'!K:K)</f>
        <v>0</v>
      </c>
      <c r="L588" s="40">
        <f>ROUNDUP(K588*E588,0)</f>
        <v>0</v>
      </c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4.25" customHeight="1">
      <c r="A589" s="100" t="str">
        <f>A547</f>
        <v>G01</v>
      </c>
      <c r="B589" s="177" t="str">
        <f>C547</f>
        <v>EDIFICAÇÃO 28 - G01</v>
      </c>
      <c r="C589" s="169"/>
      <c r="D589" s="178" t="s">
        <v>280</v>
      </c>
      <c r="E589" s="169"/>
      <c r="F589" s="169"/>
      <c r="G589" s="102">
        <f>SUM(H550:H586)</f>
        <v>0</v>
      </c>
      <c r="H589" s="103"/>
      <c r="I589" s="24"/>
      <c r="J589" s="24"/>
      <c r="K589" s="39">
        <f>IF(SUM(L582:L585)&gt;SUM(L550:L580),SUM(L582:L585),SUM(L550:L580))</f>
        <v>24</v>
      </c>
      <c r="L589" s="40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</row>
    <row r="590" spans="1:26" ht="9.75" customHeight="1">
      <c r="A590" s="30"/>
      <c r="B590" s="44"/>
      <c r="C590" s="24"/>
      <c r="D590" s="44"/>
      <c r="E590" s="24"/>
      <c r="F590" s="24"/>
      <c r="G590" s="45"/>
      <c r="H590" s="45"/>
      <c r="I590" s="24"/>
      <c r="J590" s="24"/>
      <c r="K590" s="39">
        <f>SUMIF('Composição dos serv'!A:A,'PESM Itutinga Piloes pt2'!B590,'Composição dos serv'!K:K)</f>
        <v>0</v>
      </c>
      <c r="L590" s="40">
        <f t="shared" ref="L590:L592" si="158">ROUNDUP(K590*E590,0)</f>
        <v>0</v>
      </c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9.5" hidden="1" customHeight="1">
      <c r="A591" s="80" t="s">
        <v>355</v>
      </c>
      <c r="B591" s="80">
        <v>2</v>
      </c>
      <c r="C591" s="81" t="s">
        <v>356</v>
      </c>
      <c r="D591" s="81"/>
      <c r="E591" s="81"/>
      <c r="F591" s="81"/>
      <c r="G591" s="81"/>
      <c r="H591" s="81"/>
      <c r="I591" s="24"/>
      <c r="J591" s="24"/>
      <c r="K591" s="39">
        <f>SUMIF('Composição dos serv'!A:A,'PESM Itutinga Piloes pt2'!B591,'Composição dos serv'!K:K)</f>
        <v>0</v>
      </c>
      <c r="L591" s="40">
        <f t="shared" si="158"/>
        <v>0</v>
      </c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</row>
    <row r="592" spans="1:26" ht="6" hidden="1" customHeight="1">
      <c r="A592" s="59"/>
      <c r="B592" s="30"/>
      <c r="C592" s="30"/>
      <c r="D592" s="30"/>
      <c r="E592" s="30"/>
      <c r="F592" s="30"/>
      <c r="G592" s="30"/>
      <c r="H592" s="30"/>
      <c r="I592" s="24"/>
      <c r="J592" s="24"/>
      <c r="K592" s="39">
        <f>SUMIF('Composição dos serv'!A:A,'PESM Itutinga Piloes pt2'!B592,'Composição dos serv'!K:K)</f>
        <v>0</v>
      </c>
      <c r="L592" s="40">
        <f t="shared" si="158"/>
        <v>0</v>
      </c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3" ht="14.25" hidden="1" customHeight="1">
      <c r="A593" s="33" t="str">
        <f>CONCATENATE(A591,".1")</f>
        <v>E14.1</v>
      </c>
      <c r="B593" s="33" t="s">
        <v>67</v>
      </c>
      <c r="C593" s="48" t="str">
        <f>VLOOKUP(B593,'Composição dos serv'!A:I,3,FALSE)</f>
        <v>DEMOLIÇÃO DE CALÇADAS E/OU CAMINHOS</v>
      </c>
      <c r="D593" s="48"/>
      <c r="E593" s="48"/>
      <c r="F593" s="48"/>
      <c r="G593" s="48"/>
      <c r="H593" s="48"/>
      <c r="I593" s="24"/>
      <c r="J593" s="24"/>
      <c r="K593" s="31"/>
      <c r="L593" s="32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</row>
    <row r="594" spans="1:23" ht="14.25" hidden="1" customHeight="1">
      <c r="A594" s="26" t="str">
        <f>A593</f>
        <v>E14.1</v>
      </c>
      <c r="B594" s="26" t="s">
        <v>69</v>
      </c>
      <c r="C594" s="49" t="str">
        <f>VLOOKUP(B594,'Composição dos serv'!A:I,3,FALSE)</f>
        <v>Demolição de calçada ou caminhos</v>
      </c>
      <c r="D594" s="50" t="str">
        <f>VLOOKUP(B594,'Composição dos serv'!A:I,4,FALSE)</f>
        <v>m²</v>
      </c>
      <c r="E594" s="49"/>
      <c r="F594" s="49">
        <f>ROUNDUP(E594*0.15,2)</f>
        <v>0</v>
      </c>
      <c r="G594" s="51">
        <f>SUMIF('Composição dos serv'!A:A,'PESM Itutinga Piloes pt2'!B594,'Composição dos serv'!I:I)</f>
        <v>0</v>
      </c>
      <c r="H594" s="51">
        <f t="shared" ref="H594:H595" si="159">E594*G594</f>
        <v>0</v>
      </c>
      <c r="I594" s="24"/>
      <c r="J594" s="24"/>
      <c r="K594" s="39">
        <f>SUMIF('Composição dos serv'!A:A,B594,'Composição dos serv'!K:K)</f>
        <v>0.12</v>
      </c>
      <c r="L594" s="40">
        <f t="shared" ref="L594:L624" si="160">ROUNDUP(K594*E594,0)</f>
        <v>0</v>
      </c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</row>
    <row r="595" spans="1:23" ht="14.25" hidden="1" customHeight="1">
      <c r="A595" s="26" t="str">
        <f>A593</f>
        <v>E14.1</v>
      </c>
      <c r="B595" s="26" t="s">
        <v>75</v>
      </c>
      <c r="C595" s="37" t="str">
        <f>VLOOKUP(B595,'Composição dos serv'!A:I,3,FALSE)</f>
        <v>Demolição de via Asfaltada, em paralelepípedo ou intertravados</v>
      </c>
      <c r="D595" s="26" t="str">
        <f>VLOOKUP(B595,'Composição dos serv'!A:I,4,FALSE)</f>
        <v>m²</v>
      </c>
      <c r="E595" s="37"/>
      <c r="F595" s="37">
        <f>ROUNDUP(E595*0.2,2)</f>
        <v>0</v>
      </c>
      <c r="G595" s="38">
        <f>SUMIF('Composição dos serv'!A:A,'PESM Itutinga Piloes pt2'!B595,'Composição dos serv'!I:I)</f>
        <v>0</v>
      </c>
      <c r="H595" s="38">
        <f t="shared" si="159"/>
        <v>0</v>
      </c>
      <c r="I595" s="24"/>
      <c r="J595" s="24"/>
      <c r="K595" s="39">
        <f>SUMIF('Composição dos serv'!A:A,B595,'Composição dos serv'!K:K)</f>
        <v>0.06</v>
      </c>
      <c r="L595" s="40">
        <f t="shared" si="160"/>
        <v>0</v>
      </c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</row>
    <row r="596" spans="1:23" ht="14.25" hidden="1" customHeight="1">
      <c r="A596" s="33" t="str">
        <f>CONCATENATE(A591,".2")</f>
        <v>E14.2</v>
      </c>
      <c r="B596" s="33" t="s">
        <v>85</v>
      </c>
      <c r="C596" s="34" t="str">
        <f>VLOOKUP(B596,'Composição dos serv'!A:I,3,FALSE)</f>
        <v>DEMOLIÇÃO DE MUROS E CERCAS</v>
      </c>
      <c r="D596" s="35"/>
      <c r="E596" s="35"/>
      <c r="F596" s="35"/>
      <c r="G596" s="35"/>
      <c r="H596" s="36"/>
      <c r="I596" s="24"/>
      <c r="J596" s="24"/>
      <c r="K596" s="39">
        <f>SUMIF('Composição dos serv'!A:A,B596,'Composição dos serv'!K:K)</f>
        <v>0</v>
      </c>
      <c r="L596" s="40">
        <f t="shared" si="160"/>
        <v>0</v>
      </c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</row>
    <row r="597" spans="1:23" ht="14.25" hidden="1" customHeight="1">
      <c r="A597" s="26" t="str">
        <f>A596</f>
        <v>E14.2</v>
      </c>
      <c r="B597" s="26" t="s">
        <v>87</v>
      </c>
      <c r="C597" s="37" t="str">
        <f>VLOOKUP(B597,'Composição dos serv'!A:I,3,FALSE)</f>
        <v>Demolição de muro em alvenaria ou alambrados</v>
      </c>
      <c r="D597" s="26" t="str">
        <f>VLOOKUP(B597,'Composição dos serv'!A:I,4,FALSE)</f>
        <v>m</v>
      </c>
      <c r="E597" s="37"/>
      <c r="F597" s="37">
        <f>ROUNDUP(E597*0.2*2.4,2)</f>
        <v>0</v>
      </c>
      <c r="G597" s="38">
        <f>SUMIF('Composição dos serv'!A:A,'PESM Itutinga Piloes pt2'!B597,'Composição dos serv'!I:I)</f>
        <v>0</v>
      </c>
      <c r="H597" s="38">
        <f t="shared" ref="H597:H598" si="161">E597*G597</f>
        <v>0</v>
      </c>
      <c r="I597" s="24"/>
      <c r="J597" s="24"/>
      <c r="K597" s="39">
        <f>SUMIF('Composição dos serv'!A:A,B597,'Composição dos serv'!K:K)</f>
        <v>0.26</v>
      </c>
      <c r="L597" s="40">
        <f t="shared" si="160"/>
        <v>0</v>
      </c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</row>
    <row r="598" spans="1:23" ht="14.25" hidden="1" customHeight="1">
      <c r="A598" s="26" t="str">
        <f>A596</f>
        <v>E14.2</v>
      </c>
      <c r="B598" s="26" t="s">
        <v>93</v>
      </c>
      <c r="C598" s="37" t="str">
        <f>VLOOKUP(B598,'Composição dos serv'!A:I,3,FALSE)</f>
        <v>Demolição de Cercas</v>
      </c>
      <c r="D598" s="26" t="str">
        <f>VLOOKUP(B598,'Composição dos serv'!A:I,4,FALSE)</f>
        <v>m</v>
      </c>
      <c r="E598" s="37"/>
      <c r="F598" s="37">
        <f>ROUNDUP(E598*0.1*1.8,2)</f>
        <v>0</v>
      </c>
      <c r="G598" s="38">
        <f>SUMIF('Composição dos serv'!A:A,'PESM Itutinga Piloes pt2'!B598,'Composição dos serv'!I:I)</f>
        <v>0</v>
      </c>
      <c r="H598" s="38">
        <f t="shared" si="161"/>
        <v>0</v>
      </c>
      <c r="I598" s="24"/>
      <c r="J598" s="24"/>
      <c r="K598" s="39">
        <f>SUMIF('Composição dos serv'!A:A,B598,'Composição dos serv'!K:K)</f>
        <v>0.06</v>
      </c>
      <c r="L598" s="40">
        <f t="shared" si="160"/>
        <v>0</v>
      </c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</row>
    <row r="599" spans="1:23" ht="14.25" hidden="1" customHeight="1">
      <c r="A599" s="33" t="str">
        <f>CONCATENATE(A591,".3")</f>
        <v>E14.3</v>
      </c>
      <c r="B599" s="33" t="s">
        <v>99</v>
      </c>
      <c r="C599" s="48" t="str">
        <f>VLOOKUP(B599,'Composição dos serv'!A:I,3,FALSE)</f>
        <v>COBERTURA</v>
      </c>
      <c r="D599" s="48"/>
      <c r="E599" s="48"/>
      <c r="F599" s="48"/>
      <c r="G599" s="48"/>
      <c r="H599" s="48"/>
      <c r="I599" s="24"/>
      <c r="J599" s="24"/>
      <c r="K599" s="39">
        <f>SUMIF('Composição dos serv'!A:A,B599,'Composição dos serv'!K:K)</f>
        <v>0</v>
      </c>
      <c r="L599" s="40">
        <f t="shared" si="160"/>
        <v>0</v>
      </c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</row>
    <row r="600" spans="1:23" ht="14.25" hidden="1" customHeight="1">
      <c r="A600" s="26" t="str">
        <f t="shared" ref="A600:A605" si="162">A599</f>
        <v>E14.3</v>
      </c>
      <c r="B600" s="26" t="s">
        <v>101</v>
      </c>
      <c r="C600" s="37" t="str">
        <f>VLOOKUP(B600,'Composição dos serv'!A:I,3,FALSE)</f>
        <v>Retirada de Estrutura de madeira sem telhas</v>
      </c>
      <c r="D600" s="26" t="str">
        <f>VLOOKUP(B600,'Composição dos serv'!A:I,4,FALSE)</f>
        <v>m²</v>
      </c>
      <c r="E600" s="37"/>
      <c r="F600" s="37">
        <f>ROUNDUP(E600*0.2,2)</f>
        <v>0</v>
      </c>
      <c r="G600" s="38">
        <f>SUMIF('Composição dos serv'!A:A,'PESM Itutinga Piloes pt2'!B600,'Composição dos serv'!I:I)</f>
        <v>0</v>
      </c>
      <c r="H600" s="38">
        <f t="shared" ref="H600:H605" si="163">E600*G600</f>
        <v>0</v>
      </c>
      <c r="I600" s="24"/>
      <c r="J600" s="24"/>
      <c r="K600" s="39">
        <f>SUMIF('Composição dos serv'!A:A,B600,'Composição dos serv'!K:K)</f>
        <v>0.03</v>
      </c>
      <c r="L600" s="40">
        <f t="shared" si="160"/>
        <v>0</v>
      </c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</row>
    <row r="601" spans="1:23" ht="14.25" hidden="1" customHeight="1">
      <c r="A601" s="26" t="str">
        <f t="shared" si="162"/>
        <v>E14.3</v>
      </c>
      <c r="B601" s="26" t="s">
        <v>105</v>
      </c>
      <c r="C601" s="37" t="str">
        <f>VLOOKUP(B601,'Composição dos serv'!A:I,3,FALSE)</f>
        <v>Retirada de Telhas de Barro com Estrutura em madeira (tesouras, treliças,...)</v>
      </c>
      <c r="D601" s="26" t="str">
        <f>VLOOKUP(B601,'Composição dos serv'!A:I,4,FALSE)</f>
        <v>m²</v>
      </c>
      <c r="E601" s="37"/>
      <c r="F601" s="37">
        <f>ROUNDUP(E601*0.08+E601*0.2,2)</f>
        <v>0</v>
      </c>
      <c r="G601" s="38">
        <f>SUMIF('Composição dos serv'!A:A,'PESM Itutinga Piloes pt2'!B601,'Composição dos serv'!I:I)</f>
        <v>0</v>
      </c>
      <c r="H601" s="38">
        <f t="shared" si="163"/>
        <v>0</v>
      </c>
      <c r="I601" s="24"/>
      <c r="J601" s="24"/>
      <c r="K601" s="39">
        <f>SUMIF('Composição dos serv'!A:A,B601,'Composição dos serv'!K:K)</f>
        <v>0.06</v>
      </c>
      <c r="L601" s="40">
        <f t="shared" si="160"/>
        <v>0</v>
      </c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</row>
    <row r="602" spans="1:23" ht="14.25" hidden="1" customHeight="1">
      <c r="A602" s="26" t="str">
        <f t="shared" si="162"/>
        <v>E14.3</v>
      </c>
      <c r="B602" s="26" t="s">
        <v>111</v>
      </c>
      <c r="C602" s="37" t="str">
        <f>VLOOKUP(B602,'Composição dos serv'!A:I,3,FALSE)</f>
        <v>Retirada de Telhas de amianto Sem Estrutura</v>
      </c>
      <c r="D602" s="26" t="str">
        <f>VLOOKUP(B602,'Composição dos serv'!A:I,4,FALSE)</f>
        <v>m²</v>
      </c>
      <c r="E602" s="37"/>
      <c r="F602" s="37"/>
      <c r="G602" s="38">
        <f>SUMIF('Composição dos serv'!A:A,'PESM Itutinga Piloes pt2'!B602,'Composição dos serv'!I:I)</f>
        <v>0</v>
      </c>
      <c r="H602" s="38">
        <f t="shared" si="163"/>
        <v>0</v>
      </c>
      <c r="I602" s="24"/>
      <c r="J602" s="24"/>
      <c r="K602" s="39">
        <f>SUMIF('Composição dos serv'!A:A,B602,'Composição dos serv'!K:K)</f>
        <v>0.02</v>
      </c>
      <c r="L602" s="40">
        <f t="shared" si="160"/>
        <v>0</v>
      </c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</row>
    <row r="603" spans="1:23" ht="14.25" hidden="1" customHeight="1">
      <c r="A603" s="26" t="str">
        <f t="shared" si="162"/>
        <v>E14.3</v>
      </c>
      <c r="B603" s="26" t="s">
        <v>117</v>
      </c>
      <c r="C603" s="37" t="str">
        <f>VLOOKUP(B603,'Composição dos serv'!A:I,3,FALSE)</f>
        <v>Retirada de Telhas de amianto com Estrutura em madeira (tesouras, treliças,...)</v>
      </c>
      <c r="D603" s="26" t="str">
        <f>VLOOKUP(B603,'Composição dos serv'!A:I,4,FALSE)</f>
        <v>m²</v>
      </c>
      <c r="E603" s="37"/>
      <c r="F603" s="37">
        <f>ROUNDUP(E603*0.1,2)</f>
        <v>0</v>
      </c>
      <c r="G603" s="38">
        <f>SUMIF('Composição dos serv'!A:A,'PESM Itutinga Piloes pt2'!B603,'Composição dos serv'!I:I)</f>
        <v>0</v>
      </c>
      <c r="H603" s="38">
        <f t="shared" si="163"/>
        <v>0</v>
      </c>
      <c r="I603" s="24"/>
      <c r="J603" s="24"/>
      <c r="K603" s="39">
        <f>SUMIF('Composição dos serv'!A:A,B603,'Composição dos serv'!K:K)</f>
        <v>0.04</v>
      </c>
      <c r="L603" s="40">
        <f t="shared" si="160"/>
        <v>0</v>
      </c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</row>
    <row r="604" spans="1:23" ht="14.25" hidden="1" customHeight="1">
      <c r="A604" s="26" t="str">
        <f t="shared" si="162"/>
        <v>E14.3</v>
      </c>
      <c r="B604" s="26" t="s">
        <v>121</v>
      </c>
      <c r="C604" s="37" t="str">
        <f>VLOOKUP(B604,'Composição dos serv'!A:I,3,FALSE)</f>
        <v>Retirada de Laje em concreto</v>
      </c>
      <c r="D604" s="26" t="str">
        <f>VLOOKUP(B604,'Composição dos serv'!A:I,4,FALSE)</f>
        <v>m²</v>
      </c>
      <c r="E604" s="37"/>
      <c r="F604" s="37">
        <f>ROUNDUP(E604*0.12,2)</f>
        <v>0</v>
      </c>
      <c r="G604" s="38">
        <f>SUMIF('Composição dos serv'!A:A,'PESM Itutinga Piloes pt2'!B604,'Composição dos serv'!I:I)</f>
        <v>0</v>
      </c>
      <c r="H604" s="38">
        <f t="shared" si="163"/>
        <v>0</v>
      </c>
      <c r="I604" s="24"/>
      <c r="J604" s="24"/>
      <c r="K604" s="39">
        <f>SUMIF('Composição dos serv'!A:A,B604,'Composição dos serv'!K:K)</f>
        <v>0.09</v>
      </c>
      <c r="L604" s="40">
        <f t="shared" si="160"/>
        <v>0</v>
      </c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</row>
    <row r="605" spans="1:23" ht="14.25" hidden="1" customHeight="1">
      <c r="A605" s="26" t="str">
        <f t="shared" si="162"/>
        <v>E14.3</v>
      </c>
      <c r="B605" s="26" t="s">
        <v>129</v>
      </c>
      <c r="C605" s="37" t="str">
        <f>VLOOKUP(B605,'Composição dos serv'!A:I,3,FALSE)</f>
        <v>Retirada de Forros qualquer com sistema de fixação</v>
      </c>
      <c r="D605" s="26" t="str">
        <f>VLOOKUP(B605,'Composição dos serv'!A:I,4,FALSE)</f>
        <v>m²</v>
      </c>
      <c r="E605" s="37"/>
      <c r="F605" s="37">
        <f>ROUNDUP(E605*0.1,2)</f>
        <v>0</v>
      </c>
      <c r="G605" s="38">
        <f>SUMIF('Composição dos serv'!A:A,'PESM Itutinga Piloes pt2'!B605,'Composição dos serv'!I:I)</f>
        <v>0</v>
      </c>
      <c r="H605" s="38">
        <f t="shared" si="163"/>
        <v>0</v>
      </c>
      <c r="I605" s="24"/>
      <c r="J605" s="24"/>
      <c r="K605" s="39">
        <f>SUMIF('Composição dos serv'!A:A,B605,'Composição dos serv'!K:K)</f>
        <v>0.04</v>
      </c>
      <c r="L605" s="40">
        <f t="shared" si="160"/>
        <v>0</v>
      </c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</row>
    <row r="606" spans="1:23" ht="14.25" hidden="1" customHeight="1">
      <c r="A606" s="33" t="str">
        <f>CONCATENATE(A591,".4")</f>
        <v>E14.4</v>
      </c>
      <c r="B606" s="33" t="s">
        <v>133</v>
      </c>
      <c r="C606" s="34" t="str">
        <f>VLOOKUP(B606,'Composição dos serv'!A:I,3,FALSE)</f>
        <v>PAREDES</v>
      </c>
      <c r="D606" s="35"/>
      <c r="E606" s="35"/>
      <c r="F606" s="35"/>
      <c r="G606" s="35"/>
      <c r="H606" s="36"/>
      <c r="I606" s="24"/>
      <c r="J606" s="24"/>
      <c r="K606" s="39">
        <f>SUMIF('Composição dos serv'!A:A,B606,'Composição dos serv'!K:K)</f>
        <v>0</v>
      </c>
      <c r="L606" s="40">
        <f t="shared" si="160"/>
        <v>0</v>
      </c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</row>
    <row r="607" spans="1:23" ht="14.25" hidden="1" customHeight="1">
      <c r="A607" s="26" t="str">
        <f>A606</f>
        <v>E14.4</v>
      </c>
      <c r="B607" s="26" t="s">
        <v>135</v>
      </c>
      <c r="C607" s="37" t="str">
        <f>VLOOKUP(B607,'Composição dos serv'!A:I,3,FALSE)</f>
        <v>Parede em Alvenaria - usar área construida</v>
      </c>
      <c r="D607" s="26" t="str">
        <f>VLOOKUP(B607,'Composição dos serv'!A:I,4,FALSE)</f>
        <v>m²</v>
      </c>
      <c r="E607" s="49"/>
      <c r="F607" s="37">
        <f>ROUNDUP(E607*0.8,2)</f>
        <v>0</v>
      </c>
      <c r="G607" s="38">
        <f>SUMIF('Composição dos serv'!A:A,B607,'Composição dos serv'!I:I)</f>
        <v>0</v>
      </c>
      <c r="H607" s="38">
        <f t="shared" ref="H607:H609" si="164">E607*G607</f>
        <v>0</v>
      </c>
      <c r="I607" s="24"/>
      <c r="J607" s="24"/>
      <c r="K607" s="39">
        <f>SUMIF('Composição dos serv'!A:A,B607,'Composição dos serv'!K:K)</f>
        <v>0.15000000000000002</v>
      </c>
      <c r="L607" s="40">
        <f t="shared" si="160"/>
        <v>0</v>
      </c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</row>
    <row r="608" spans="1:23" ht="14.25" hidden="1" customHeight="1">
      <c r="A608" s="26" t="str">
        <f>A606</f>
        <v>E14.4</v>
      </c>
      <c r="B608" s="26" t="s">
        <v>143</v>
      </c>
      <c r="C608" s="37" t="str">
        <f>VLOOKUP(B608,'Composição dos serv'!A:I,3,FALSE)</f>
        <v>Parede em Madeirite - Chapas de madeira compensada ou aglomerada - área construída</v>
      </c>
      <c r="D608" s="26" t="str">
        <f>VLOOKUP(B608,'Composição dos serv'!A:I,4,FALSE)</f>
        <v>m²</v>
      </c>
      <c r="E608" s="37"/>
      <c r="F608" s="37">
        <f>ROUNDUP(E608*0.21,2)</f>
        <v>0</v>
      </c>
      <c r="G608" s="38">
        <f>SUMIF('Composição dos serv'!A:A,B608,'Composição dos serv'!I:I)</f>
        <v>0</v>
      </c>
      <c r="H608" s="38">
        <f t="shared" si="164"/>
        <v>0</v>
      </c>
      <c r="I608" s="24"/>
      <c r="J608" s="24"/>
      <c r="K608" s="39">
        <f>SUMIF('Composição dos serv'!A:A,B608,'Composição dos serv'!K:K)</f>
        <v>0.15000000000000002</v>
      </c>
      <c r="L608" s="40">
        <f t="shared" si="160"/>
        <v>0</v>
      </c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</row>
    <row r="609" spans="1:23" ht="14.25" hidden="1" customHeight="1">
      <c r="A609" s="26" t="str">
        <f>A606</f>
        <v>E14.4</v>
      </c>
      <c r="B609" s="26" t="s">
        <v>145</v>
      </c>
      <c r="C609" s="37" t="str">
        <f>VLOOKUP(B609,'Composição dos serv'!A:I,3,FALSE)</f>
        <v>Parede em Lambril de madeira - área construída</v>
      </c>
      <c r="D609" s="26" t="str">
        <f>VLOOKUP(B609,'Composição dos serv'!A:I,4,FALSE)</f>
        <v>m²</v>
      </c>
      <c r="E609" s="37"/>
      <c r="F609" s="37">
        <f>ROUNDUP(E609*4*0.12,2)</f>
        <v>0</v>
      </c>
      <c r="G609" s="38">
        <f>SUMIF('Composição dos serv'!A:A,B609,'Composição dos serv'!I:I)</f>
        <v>0</v>
      </c>
      <c r="H609" s="38">
        <f t="shared" si="164"/>
        <v>0</v>
      </c>
      <c r="I609" s="24"/>
      <c r="J609" s="24"/>
      <c r="K609" s="39">
        <f>SUMIF('Composição dos serv'!A:A,B609,'Composição dos serv'!K:K)</f>
        <v>0.35000000000000009</v>
      </c>
      <c r="L609" s="40">
        <f t="shared" si="160"/>
        <v>0</v>
      </c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</row>
    <row r="610" spans="1:23" ht="14.25" hidden="1" customHeight="1">
      <c r="A610" s="33" t="str">
        <f>CONCATENATE(A591,".5")</f>
        <v>E14.5</v>
      </c>
      <c r="B610" s="33" t="s">
        <v>153</v>
      </c>
      <c r="C610" s="34" t="str">
        <f>VLOOKUP(B610,'Composição dos serv'!A:I,3,FALSE)</f>
        <v>PISO E FUNDAÇÃO</v>
      </c>
      <c r="D610" s="35"/>
      <c r="E610" s="35"/>
      <c r="F610" s="35"/>
      <c r="G610" s="35"/>
      <c r="H610" s="36"/>
      <c r="I610" s="24"/>
      <c r="J610" s="24"/>
      <c r="K610" s="39">
        <f>SUMIF('Composição dos serv'!A:A,B610,'Composição dos serv'!K:K)</f>
        <v>0</v>
      </c>
      <c r="L610" s="40">
        <f t="shared" si="160"/>
        <v>0</v>
      </c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</row>
    <row r="611" spans="1:23" ht="14.25" hidden="1" customHeight="1">
      <c r="A611" s="26" t="str">
        <f>A610</f>
        <v>E14.5</v>
      </c>
      <c r="B611" s="26" t="s">
        <v>155</v>
      </c>
      <c r="C611" s="37" t="str">
        <f>VLOOKUP(B611,'Composição dos serv'!A:I,3,FALSE)</f>
        <v>Piso da edificação com fundação</v>
      </c>
      <c r="D611" s="26" t="str">
        <f>VLOOKUP(B611,'Composição dos serv'!A:I,4,FALSE)</f>
        <v>m²</v>
      </c>
      <c r="E611" s="37"/>
      <c r="F611" s="37">
        <f>ROUNDUP(E611*0.24,2)</f>
        <v>0</v>
      </c>
      <c r="G611" s="38">
        <f>SUMIF('Composição dos serv'!A:A,B611,'Composição dos serv'!I:I)</f>
        <v>0</v>
      </c>
      <c r="H611" s="38">
        <f>E611*G611</f>
        <v>0</v>
      </c>
      <c r="I611" s="24"/>
      <c r="J611" s="24"/>
      <c r="K611" s="39">
        <f>SUMIF('Composição dos serv'!A:A,B611,'Composição dos serv'!K:K)</f>
        <v>0.17</v>
      </c>
      <c r="L611" s="40">
        <f t="shared" si="160"/>
        <v>0</v>
      </c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</row>
    <row r="612" spans="1:23" ht="14.25" hidden="1" customHeight="1">
      <c r="A612" s="33" t="str">
        <f>CONCATENATE(A591,".6")</f>
        <v>E14.6</v>
      </c>
      <c r="B612" s="33" t="s">
        <v>161</v>
      </c>
      <c r="C612" s="48" t="str">
        <f>VLOOKUP(B612,'Composição dos serv'!A:I,3,FALSE)</f>
        <v>ESTRUTURAS DIVERSAS</v>
      </c>
      <c r="D612" s="48"/>
      <c r="E612" s="48"/>
      <c r="F612" s="48"/>
      <c r="G612" s="48"/>
      <c r="H612" s="48"/>
      <c r="I612" s="24"/>
      <c r="J612" s="24"/>
      <c r="K612" s="39">
        <f>SUMIF('Composição dos serv'!A:A,B612,'Composição dos serv'!K:K)</f>
        <v>0</v>
      </c>
      <c r="L612" s="40">
        <f t="shared" si="160"/>
        <v>0</v>
      </c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</row>
    <row r="613" spans="1:23" ht="14.25" hidden="1" customHeight="1">
      <c r="A613" s="26" t="str">
        <f>A612</f>
        <v>E14.6</v>
      </c>
      <c r="B613" s="26" t="s">
        <v>163</v>
      </c>
      <c r="C613" s="37" t="str">
        <f>VLOOKUP(B613,'Composição dos serv'!A:I,3,FALSE)</f>
        <v>Escada em concreto com corrimão</v>
      </c>
      <c r="D613" s="26" t="str">
        <f>VLOOKUP(B613,'Composição dos serv'!A:I,4,FALSE)</f>
        <v>m</v>
      </c>
      <c r="E613" s="49"/>
      <c r="F613" s="37">
        <f>ROUNDUP(E613*1.2*0.25,2)</f>
        <v>0</v>
      </c>
      <c r="G613" s="38">
        <f>SUMIF('Composição dos serv'!A:A,'PESM Itutinga Piloes pt2'!B613,'Composição dos serv'!I:I)</f>
        <v>0</v>
      </c>
      <c r="H613" s="38">
        <f t="shared" ref="H613:H616" si="165">E613*G613</f>
        <v>0</v>
      </c>
      <c r="I613" s="24"/>
      <c r="J613" s="24"/>
      <c r="K613" s="39">
        <f>SUMIF('Composição dos serv'!A:A,B613,'Composição dos serv'!K:K)</f>
        <v>0.39</v>
      </c>
      <c r="L613" s="40">
        <f t="shared" si="160"/>
        <v>0</v>
      </c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</row>
    <row r="614" spans="1:23" ht="14.25" hidden="1" customHeight="1">
      <c r="A614" s="26" t="str">
        <f>A612</f>
        <v>E14.6</v>
      </c>
      <c r="B614" s="26" t="s">
        <v>169</v>
      </c>
      <c r="C614" s="37" t="str">
        <f>VLOOKUP(B614,'Composição dos serv'!A:I,3,FALSE)</f>
        <v>Entrada de Energia - medidor</v>
      </c>
      <c r="D614" s="26" t="str">
        <f>VLOOKUP(B614,'Composição dos serv'!A:I,4,FALSE)</f>
        <v>un</v>
      </c>
      <c r="E614" s="37"/>
      <c r="F614" s="37">
        <f>ROUNDUP(E614*(3.2+(((3.1415*0.4^2)/4)*6)),2)</f>
        <v>0</v>
      </c>
      <c r="G614" s="38">
        <f>SUMIF('Composição dos serv'!A:A,'PESM Itutinga Piloes pt2'!B614,'Composição dos serv'!I:I)</f>
        <v>0</v>
      </c>
      <c r="H614" s="38">
        <f t="shared" si="165"/>
        <v>0</v>
      </c>
      <c r="I614" s="24"/>
      <c r="J614" s="24"/>
      <c r="K614" s="39">
        <f>SUMIF('Composição dos serv'!A:A,B614,'Composição dos serv'!K:K)</f>
        <v>1.7600000000000002</v>
      </c>
      <c r="L614" s="40">
        <f t="shared" si="160"/>
        <v>0</v>
      </c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</row>
    <row r="615" spans="1:23" ht="14.25" hidden="1" customHeight="1">
      <c r="A615" s="26" t="str">
        <f>A612</f>
        <v>E14.6</v>
      </c>
      <c r="B615" s="26" t="s">
        <v>183</v>
      </c>
      <c r="C615" s="37" t="str">
        <f>VLOOKUP(B615,'Composição dos serv'!A:I,3,FALSE)</f>
        <v>Hidrômetro com abrigo</v>
      </c>
      <c r="D615" s="26" t="str">
        <f>VLOOKUP(B615,'Composição dos serv'!A:I,4,FALSE)</f>
        <v>un</v>
      </c>
      <c r="E615" s="37"/>
      <c r="F615" s="37">
        <f>ROUNDUP(E615*(1.7+0.1),2)</f>
        <v>0</v>
      </c>
      <c r="G615" s="38">
        <f>SUMIF('Composição dos serv'!A:A,'PESM Itutinga Piloes pt2'!B615,'Composição dos serv'!I:I)</f>
        <v>0</v>
      </c>
      <c r="H615" s="38">
        <f t="shared" si="165"/>
        <v>0</v>
      </c>
      <c r="I615" s="24"/>
      <c r="J615" s="24"/>
      <c r="K615" s="39">
        <f>SUMIF('Composição dos serv'!A:A,B615,'Composição dos serv'!K:K)</f>
        <v>0.44000000000000006</v>
      </c>
      <c r="L615" s="40">
        <f t="shared" si="160"/>
        <v>0</v>
      </c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</row>
    <row r="616" spans="1:23" ht="14.25" hidden="1" customHeight="1">
      <c r="A616" s="26" t="str">
        <f>A614</f>
        <v>E14.6</v>
      </c>
      <c r="B616" s="26" t="s">
        <v>191</v>
      </c>
      <c r="C616" s="37" t="str">
        <f>VLOOKUP(B616,'Composição dos serv'!A:I,3,FALSE)</f>
        <v>Aterro de Fossa com retirada de tampa</v>
      </c>
      <c r="D616" s="26" t="str">
        <f>VLOOKUP(B616,'Composição dos serv'!A:I,4,FALSE)</f>
        <v>un</v>
      </c>
      <c r="E616" s="37"/>
      <c r="F616" s="37">
        <f>ROUNDUP(E616*(0.4),2)</f>
        <v>0</v>
      </c>
      <c r="G616" s="38">
        <f>SUMIF('Composição dos serv'!A:A,'PESM Itutinga Piloes pt2'!B616,'Composição dos serv'!I:I)</f>
        <v>0</v>
      </c>
      <c r="H616" s="38">
        <f t="shared" si="165"/>
        <v>0</v>
      </c>
      <c r="I616" s="24"/>
      <c r="J616" s="24"/>
      <c r="K616" s="39">
        <f>SUMIF('Composição dos serv'!A:A,B616,'Composição dos serv'!K:K)</f>
        <v>0.85000000000000009</v>
      </c>
      <c r="L616" s="40">
        <f t="shared" si="160"/>
        <v>0</v>
      </c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</row>
    <row r="617" spans="1:23" ht="14.25" hidden="1" customHeight="1">
      <c r="A617" s="33" t="str">
        <f>CONCATENATE(A591,".7")</f>
        <v>E14.7</v>
      </c>
      <c r="B617" s="33" t="s">
        <v>195</v>
      </c>
      <c r="C617" s="48" t="str">
        <f>VLOOKUP(B617,'Composição dos serv'!A:I,3,FALSE)</f>
        <v>ACABAMENTOS DIVERSOS e OUTROS</v>
      </c>
      <c r="D617" s="48"/>
      <c r="E617" s="48"/>
      <c r="F617" s="48"/>
      <c r="G617" s="48"/>
      <c r="H617" s="48"/>
      <c r="I617" s="24"/>
      <c r="J617" s="24"/>
      <c r="K617" s="39">
        <f>SUMIF('Composição dos serv'!A:A,B617,'Composição dos serv'!K:K)</f>
        <v>0</v>
      </c>
      <c r="L617" s="40">
        <f t="shared" si="160"/>
        <v>0</v>
      </c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</row>
    <row r="618" spans="1:23" ht="14.25" hidden="1" customHeight="1">
      <c r="A618" s="26" t="str">
        <f>A617</f>
        <v>E14.7</v>
      </c>
      <c r="B618" s="50" t="s">
        <v>197</v>
      </c>
      <c r="C618" s="49" t="str">
        <f>VLOOKUP(B618,'Composição dos serv'!A:I,3,FALSE)</f>
        <v>Remoção de aparelhos sanitarios - por banheiro</v>
      </c>
      <c r="D618" s="50" t="str">
        <f>VLOOKUP(B618,'Composição dos serv'!A:I,4,FALSE)</f>
        <v>unid</v>
      </c>
      <c r="E618" s="49"/>
      <c r="F618" s="37">
        <f t="shared" ref="F618:F620" si="166">ROUNDUP(E618*1,2)</f>
        <v>0</v>
      </c>
      <c r="G618" s="51">
        <f>SUMIF('Composição dos serv'!A:A,B618,'Composição dos serv'!I:I)</f>
        <v>0</v>
      </c>
      <c r="H618" s="51">
        <f t="shared" ref="H618:H624" si="167">E618*G618</f>
        <v>0</v>
      </c>
      <c r="I618" s="24"/>
      <c r="J618" s="24"/>
      <c r="K618" s="39">
        <f>SUMIF('Composição dos serv'!A:A,B618,'Composição dos serv'!K:K)</f>
        <v>0.19</v>
      </c>
      <c r="L618" s="40">
        <f t="shared" si="160"/>
        <v>0</v>
      </c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</row>
    <row r="619" spans="1:23" ht="14.25" hidden="1" customHeight="1">
      <c r="A619" s="26" t="str">
        <f>A617</f>
        <v>E14.7</v>
      </c>
      <c r="B619" s="50" t="s">
        <v>209</v>
      </c>
      <c r="C619" s="37" t="str">
        <f>VLOOKUP(B619,'Composição dos serv'!A:I,3,FALSE)</f>
        <v>Remoção de aparelhos sanitarios - Cozinha e Área de Serviço</v>
      </c>
      <c r="D619" s="26" t="str">
        <f>VLOOKUP(B619,'Composição dos serv'!A:I,4,FALSE)</f>
        <v>unid</v>
      </c>
      <c r="E619" s="37"/>
      <c r="F619" s="37">
        <f t="shared" si="166"/>
        <v>0</v>
      </c>
      <c r="G619" s="51">
        <f>SUMIF('Composição dos serv'!A:A,B619,'Composição dos serv'!I:I)</f>
        <v>0</v>
      </c>
      <c r="H619" s="38">
        <f t="shared" si="167"/>
        <v>0</v>
      </c>
      <c r="I619" s="24"/>
      <c r="J619" s="24"/>
      <c r="K619" s="39">
        <f>SUMIF('Composição dos serv'!A:A,B619,'Composição dos serv'!K:K)</f>
        <v>0.21</v>
      </c>
      <c r="L619" s="40">
        <f t="shared" si="160"/>
        <v>0</v>
      </c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</row>
    <row r="620" spans="1:23" ht="14.25" hidden="1" customHeight="1">
      <c r="A620" s="26" t="str">
        <f>A617</f>
        <v>E14.7</v>
      </c>
      <c r="B620" s="50" t="s">
        <v>215</v>
      </c>
      <c r="C620" s="37" t="str">
        <f>VLOOKUP(B620,'Composição dos serv'!A:I,3,FALSE)</f>
        <v>Remoção de caixa d'agua</v>
      </c>
      <c r="D620" s="26" t="str">
        <f>VLOOKUP(B620,'Composição dos serv'!A:I,4,FALSE)</f>
        <v>unid</v>
      </c>
      <c r="E620" s="37"/>
      <c r="F620" s="37">
        <f t="shared" si="166"/>
        <v>0</v>
      </c>
      <c r="G620" s="51">
        <f>SUMIF('Composição dos serv'!A:A,B620,'Composição dos serv'!I:I)</f>
        <v>0</v>
      </c>
      <c r="H620" s="38">
        <f t="shared" si="167"/>
        <v>0</v>
      </c>
      <c r="I620" s="24"/>
      <c r="J620" s="24"/>
      <c r="K620" s="39">
        <f>SUMIF('Composição dos serv'!A:A,B620,'Composição dos serv'!K:K)</f>
        <v>0.42000000000000004</v>
      </c>
      <c r="L620" s="40">
        <f t="shared" si="160"/>
        <v>0</v>
      </c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</row>
    <row r="621" spans="1:23" ht="14.25" hidden="1" customHeight="1">
      <c r="A621" s="26" t="str">
        <f>A617</f>
        <v>E14.7</v>
      </c>
      <c r="B621" s="50" t="s">
        <v>219</v>
      </c>
      <c r="C621" s="37" t="str">
        <f>VLOOKUP(B621,'Composição dos serv'!A:I,3,FALSE)</f>
        <v>Remoção do Sistema de Para raios - área do telhado</v>
      </c>
      <c r="D621" s="26" t="str">
        <f>VLOOKUP(B621,'Composição dos serv'!A:I,4,FALSE)</f>
        <v>m²</v>
      </c>
      <c r="E621" s="37"/>
      <c r="F621" s="37">
        <f>ROUNDUP(E621/60,2)</f>
        <v>0</v>
      </c>
      <c r="G621" s="51">
        <f>SUMIF('Composição dos serv'!A:A,B621,'Composição dos serv'!I:I)</f>
        <v>0</v>
      </c>
      <c r="H621" s="38">
        <f t="shared" si="167"/>
        <v>0</v>
      </c>
      <c r="I621" s="24"/>
      <c r="J621" s="24"/>
      <c r="K621" s="39">
        <f>SUMIF('Composição dos serv'!A:A,B621,'Composição dos serv'!K:K)</f>
        <v>0.05</v>
      </c>
      <c r="L621" s="40">
        <f t="shared" si="160"/>
        <v>0</v>
      </c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</row>
    <row r="622" spans="1:23" ht="14.25" hidden="1" customHeight="1">
      <c r="A622" s="26" t="str">
        <f>A617</f>
        <v>E14.7</v>
      </c>
      <c r="B622" s="50" t="s">
        <v>227</v>
      </c>
      <c r="C622" s="37" t="str">
        <f>VLOOKUP(B622,'Composição dos serv'!A:I,3,FALSE)</f>
        <v>Janelas</v>
      </c>
      <c r="D622" s="26" t="str">
        <f>VLOOKUP(B622,'Composição dos serv'!A:I,4,FALSE)</f>
        <v>un</v>
      </c>
      <c r="E622" s="37"/>
      <c r="F622" s="37">
        <f>ROUNDUP(E622*1.5*1.2*0.2,2)</f>
        <v>0</v>
      </c>
      <c r="G622" s="51">
        <f>SUMIF('Composição dos serv'!A:A,B622,'Composição dos serv'!I:I)</f>
        <v>0</v>
      </c>
      <c r="H622" s="38">
        <f t="shared" si="167"/>
        <v>0</v>
      </c>
      <c r="I622" s="24"/>
      <c r="J622" s="24"/>
      <c r="K622" s="39">
        <f>SUMIF('Composição dos serv'!A:A,B622,'Composição dos serv'!K:K)</f>
        <v>0</v>
      </c>
      <c r="L622" s="40">
        <f t="shared" si="160"/>
        <v>0</v>
      </c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</row>
    <row r="623" spans="1:23" ht="14.25" hidden="1" customHeight="1">
      <c r="A623" s="26" t="str">
        <f>A617</f>
        <v>E14.7</v>
      </c>
      <c r="B623" s="50" t="s">
        <v>234</v>
      </c>
      <c r="C623" s="37" t="str">
        <f>VLOOKUP(B623,'Composição dos serv'!A:I,3,FALSE)</f>
        <v>Portas</v>
      </c>
      <c r="D623" s="26" t="str">
        <f>VLOOKUP(B623,'Composição dos serv'!A:I,4,FALSE)</f>
        <v>un</v>
      </c>
      <c r="E623" s="37"/>
      <c r="F623" s="37">
        <f>ROUNDUP(E623*2.1*0.9*0.2,2)</f>
        <v>0</v>
      </c>
      <c r="G623" s="51">
        <f>SUMIF('Composição dos serv'!A:A,B623,'Composição dos serv'!I:I)</f>
        <v>0</v>
      </c>
      <c r="H623" s="38">
        <f t="shared" si="167"/>
        <v>0</v>
      </c>
      <c r="I623" s="24"/>
      <c r="J623" s="24"/>
      <c r="K623" s="39">
        <f>SUMIF('Composição dos serv'!A:A,B623,'Composição dos serv'!K:K)</f>
        <v>0</v>
      </c>
      <c r="L623" s="40">
        <f t="shared" si="160"/>
        <v>0</v>
      </c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</row>
    <row r="624" spans="1:23" ht="14.25" hidden="1" customHeight="1">
      <c r="A624" s="26" t="str">
        <f>A617</f>
        <v>E14.7</v>
      </c>
      <c r="B624" s="50" t="s">
        <v>236</v>
      </c>
      <c r="C624" s="37" t="str">
        <f>VLOOKUP(B624,'Composição dos serv'!A:I,3,FALSE)</f>
        <v>Guarda corpo de metal</v>
      </c>
      <c r="D624" s="26" t="str">
        <f>VLOOKUP(B624,'Composição dos serv'!A:I,4,FALSE)</f>
        <v>m</v>
      </c>
      <c r="E624" s="37"/>
      <c r="F624" s="37">
        <f>ROUNDUP(E624*1.7*0.05,2)</f>
        <v>0</v>
      </c>
      <c r="G624" s="51">
        <f>SUMIF('Composição dos serv'!A:A,B624,'Composição dos serv'!I:I)</f>
        <v>0</v>
      </c>
      <c r="H624" s="38">
        <f t="shared" si="167"/>
        <v>0</v>
      </c>
      <c r="I624" s="24"/>
      <c r="J624" s="24"/>
      <c r="K624" s="39">
        <f>SUMIF('Composição dos serv'!A:A,B624,'Composição dos serv'!K:K)</f>
        <v>0</v>
      </c>
      <c r="L624" s="40">
        <f t="shared" si="160"/>
        <v>0</v>
      </c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</row>
    <row r="625" spans="1:26" ht="14.25" hidden="1" customHeight="1">
      <c r="A625" s="33" t="str">
        <f>CONCATENATE(A591,".8")</f>
        <v>E14.8</v>
      </c>
      <c r="B625" s="33" t="s">
        <v>240</v>
      </c>
      <c r="C625" s="48" t="str">
        <f>VLOOKUP(B625,'Composição dos serv'!A:I,3,FALSE)</f>
        <v>ENTULHO</v>
      </c>
      <c r="D625" s="48"/>
      <c r="E625" s="48"/>
      <c r="F625" s="48"/>
      <c r="G625" s="48"/>
      <c r="H625" s="48"/>
      <c r="I625" s="24"/>
      <c r="J625" s="24"/>
      <c r="K625" s="39">
        <f>SUMIF('Composição dos serv'!A:A,B625,'Composição dos serv'!K:K)</f>
        <v>0</v>
      </c>
      <c r="L625" s="40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</row>
    <row r="626" spans="1:26" ht="14.25" hidden="1" customHeight="1">
      <c r="A626" s="26" t="str">
        <f>A625</f>
        <v>E14.8</v>
      </c>
      <c r="B626" s="50" t="s">
        <v>242</v>
      </c>
      <c r="C626" s="49" t="str">
        <f>VLOOKUP(B626,'Composição dos serv'!A:I,3,FALSE)</f>
        <v>Transporte e espalhamento Manual do entulho a ser reutilizado</v>
      </c>
      <c r="D626" s="50" t="s">
        <v>291</v>
      </c>
      <c r="E626" s="49"/>
      <c r="F626" s="52">
        <f>IF(E626=1,ROUNDUP((IF(E594&lt;&gt;"",F594,0)+IF(E595&lt;&gt;"",F595,0)+IF(E597&lt;&gt;"",F597,0)+IF(E598&lt;&gt;"",F598*0.34,0)+IF(E601&lt;&gt;"",F601*0.43,0)+IF(E604&lt;&gt;"",F604*0.8,0)+IF(E607&lt;&gt;"",F607*(0.78),0)+IF(E611&lt;&gt;"",F611*0.98,0)+IF(E613&lt;&gt;"",F613*0.91,0)+IF(E614&lt;&gt;"",F614*0.26,0)+IF(E615&lt;&gt;"",F615*0.24,0)+IF(E616&lt;&gt;"",F616,0)),2),0)</f>
        <v>0</v>
      </c>
      <c r="G626" s="51">
        <f>SUMIF('Composição dos serv'!A:A,B626,'Composição dos serv'!I:I)</f>
        <v>0</v>
      </c>
      <c r="H626" s="51">
        <f t="shared" ref="H626:H627" si="168">F626*G626</f>
        <v>0</v>
      </c>
      <c r="I626" s="24"/>
      <c r="J626" s="24"/>
      <c r="K626" s="39">
        <f>SUMIF('Composição dos serv'!A:A,B626,'Composição dos serv'!K:K)</f>
        <v>0.15000000000000002</v>
      </c>
      <c r="L626" s="40">
        <f t="shared" ref="L626:L629" si="169">ROUNDUP(K626*F626,0)</f>
        <v>0</v>
      </c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</row>
    <row r="627" spans="1:26" ht="14.25" hidden="1" customHeight="1">
      <c r="A627" s="26" t="str">
        <f>A625</f>
        <v>E14.8</v>
      </c>
      <c r="B627" s="50" t="s">
        <v>246</v>
      </c>
      <c r="C627" s="49" t="str">
        <f>VLOOKUP(B627,'Composição dos serv'!A:I,3,FALSE)</f>
        <v>Remoção e Transporte Mecanizado do entulho a ser reutilizado</v>
      </c>
      <c r="D627" s="50" t="s">
        <v>291</v>
      </c>
      <c r="E627" s="49"/>
      <c r="F627" s="52">
        <f>IF(E627=1,SUM(F594:F624)-H631,0)</f>
        <v>0</v>
      </c>
      <c r="G627" s="51">
        <f>SUMIF('Composição dos serv'!A:A,B627,'Composição dos serv'!I:I)</f>
        <v>0</v>
      </c>
      <c r="H627" s="51">
        <f t="shared" si="168"/>
        <v>0</v>
      </c>
      <c r="I627" s="24"/>
      <c r="J627" s="24"/>
      <c r="K627" s="39">
        <f>SUMIF('Composição dos serv'!A:A,B627,'Composição dos serv'!K:K)</f>
        <v>0.02</v>
      </c>
      <c r="L627" s="40">
        <f t="shared" si="169"/>
        <v>0</v>
      </c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</row>
    <row r="628" spans="1:26" ht="14.25" hidden="1" customHeight="1">
      <c r="A628" s="26" t="str">
        <f>A625</f>
        <v>E14.8</v>
      </c>
      <c r="B628" s="50" t="s">
        <v>252</v>
      </c>
      <c r="C628" s="49" t="str">
        <f>VLOOKUP(B628,'Composição dos serv'!A:I,3,FALSE)</f>
        <v>Remoção do entulho com caçamba</v>
      </c>
      <c r="D628" s="50" t="s">
        <v>291</v>
      </c>
      <c r="E628" s="49"/>
      <c r="F628" s="52">
        <f>IF(E628=1,SUM(F594:F624),0)</f>
        <v>0</v>
      </c>
      <c r="G628" s="51">
        <f>SUMIF('Composição dos serv'!A:A,B628,'Composição dos serv'!I:I)</f>
        <v>0</v>
      </c>
      <c r="H628" s="51">
        <f>IF(E628&gt;1,"OPÇÃO ERRADA",F628*G628)+IF(G631=1,H631*G628,0)</f>
        <v>0</v>
      </c>
      <c r="I628" s="24"/>
      <c r="J628" s="24"/>
      <c r="K628" s="39">
        <f>SUMIF('Composição dos serv'!A:A,B628,'Composição dos serv'!K:K)</f>
        <v>0.02</v>
      </c>
      <c r="L628" s="40">
        <f t="shared" si="169"/>
        <v>0</v>
      </c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</row>
    <row r="629" spans="1:26" ht="14.25" hidden="1" customHeight="1">
      <c r="A629" s="26" t="str">
        <f>A625</f>
        <v>E14.8</v>
      </c>
      <c r="B629" s="50" t="s">
        <v>256</v>
      </c>
      <c r="C629" s="49" t="str">
        <f>VLOOKUP(B629,'Composição dos serv'!A:I,3,FALSE)</f>
        <v>Remoção e Transporte Mecanizado do entulho para bota fora</v>
      </c>
      <c r="D629" s="50" t="s">
        <v>291</v>
      </c>
      <c r="E629" s="49"/>
      <c r="F629" s="52">
        <f>IF(E629=1,SUM(F594:F624),0)</f>
        <v>0</v>
      </c>
      <c r="G629" s="51">
        <f>SUMIF('Composição dos serv'!A:A,B629,'Composição dos serv'!I:I)</f>
        <v>0</v>
      </c>
      <c r="H629" s="51">
        <f>IF(E629&gt;1,"OPÇÃO ERRADA",F629*G629)+IF(G631=2,H631*G629,0)</f>
        <v>0</v>
      </c>
      <c r="I629" s="24"/>
      <c r="J629" s="24"/>
      <c r="K629" s="39">
        <f>SUMIF('Composição dos serv'!A:A,B629,'Composição dos serv'!K:K)</f>
        <v>7.9999999999999988E-2</v>
      </c>
      <c r="L629" s="40">
        <f t="shared" si="169"/>
        <v>0</v>
      </c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</row>
    <row r="630" spans="1:26" ht="14.25" hidden="1" customHeight="1">
      <c r="A630" s="26" t="str">
        <f>A625</f>
        <v>E14.8</v>
      </c>
      <c r="B630" s="50" t="s">
        <v>264</v>
      </c>
      <c r="C630" s="49" t="str">
        <f>VLOOKUP(B630,'Composição dos serv'!A:I,3,FALSE)</f>
        <v>Remoção de telhas em cimento amianto</v>
      </c>
      <c r="D630" s="26" t="str">
        <f>VLOOKUP(B630,'Composição dos serv'!A:I,4,FALSE)</f>
        <v>m²</v>
      </c>
      <c r="E630" s="49">
        <f>SUM(E602:E603)</f>
        <v>0</v>
      </c>
      <c r="F630" s="52"/>
      <c r="G630" s="51">
        <f>SUMIF('Composição dos serv'!A:A,B630,'Composição dos serv'!I:I)</f>
        <v>0</v>
      </c>
      <c r="H630" s="51">
        <f>G630*E630</f>
        <v>0</v>
      </c>
      <c r="I630" s="24"/>
      <c r="J630" s="24"/>
      <c r="K630" s="39"/>
      <c r="L630" s="40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</row>
    <row r="631" spans="1:26" ht="14.25" customHeight="1">
      <c r="A631" s="53"/>
      <c r="B631" s="53"/>
      <c r="C631" s="37" t="str">
        <f>IF(E628&lt;&gt;1,IF(E629&lt;&gt;1,IF(H631&lt;&gt;0,"Há Material não reutilizavel qual a destinação para ele?",""),""),"")</f>
        <v/>
      </c>
      <c r="D631" s="168" t="str">
        <f>IF(E628&lt;&gt;1,IF(E629&lt;&gt;1,IF(H631&lt;&gt;0,"Caçamba = 1; Aterro = 2",""),""),"")</f>
        <v/>
      </c>
      <c r="E631" s="169"/>
      <c r="F631" s="170"/>
      <c r="G631" s="37">
        <v>1</v>
      </c>
      <c r="H631" s="54">
        <f>IF(E628=1,0,IF(E629=1,0,ROUNDUP((IF(E598&lt;&gt;"",F598*0.66,0)+IF(E601&lt;&gt;"",F601*0.57,0)+IF(E603&lt;&gt;"",F603,0)+IF(E604&lt;&gt;"",F604*0.2,0)+IF(E605&lt;&gt;"",F605,0)+IF(E607&lt;&gt;"",F607*0.22,0)+IF(E608&lt;&gt;"",F608,0)+IF(E609&lt;&gt;"",F609,0)+IF(E611&lt;&gt;"",F611*0.02,0)+IF(E613&lt;&gt;"",F613*0.09,0)+IF(E614&lt;&gt;"",F614*0.74,0)+IF(E615&lt;&gt;"",F615*(1-0.24),0)+IF(E618&lt;&gt;"",F618,0)+IF(E619&lt;&gt;"",F619,0)+IF(E620&lt;&gt;"",F620,0)+IF(E621&lt;&gt;"",F621,0)+IF(E622&lt;&gt;"",F622,0)+IF(E623&lt;&gt;"",F623,0)+IF(E624&lt;&gt;"",F624,0)+IF(E602&lt;&gt;"",F602,0)+IF(E600&lt;&gt;"",F600,0)),2)))</f>
        <v>0</v>
      </c>
      <c r="I631" s="24"/>
      <c r="J631" s="24"/>
      <c r="K631" s="39"/>
      <c r="L631" s="40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</row>
    <row r="632" spans="1:26" ht="6" hidden="1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39">
        <f>SUMIF('Composição dos serv'!A:A,'PESM Itutinga Piloes pt2'!B632,'Composição dos serv'!K:K)</f>
        <v>0</v>
      </c>
      <c r="L632" s="40">
        <f>ROUNDUP(K632*E632,0)</f>
        <v>0</v>
      </c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4.25" hidden="1" customHeight="1">
      <c r="A633" s="80" t="str">
        <f>A591</f>
        <v>E14</v>
      </c>
      <c r="B633" s="179" t="str">
        <f>C591</f>
        <v>EDIFICAÇÃO 29 - Gleba 386</v>
      </c>
      <c r="C633" s="169"/>
      <c r="D633" s="180" t="s">
        <v>280</v>
      </c>
      <c r="E633" s="169"/>
      <c r="F633" s="169"/>
      <c r="G633" s="82">
        <f>SUM(H594:H630)</f>
        <v>0</v>
      </c>
      <c r="H633" s="83"/>
      <c r="I633" s="24"/>
      <c r="J633" s="24"/>
      <c r="K633" s="39">
        <f>IF(SUM(L626:L629)&gt;SUM(L594:L624),SUM(L626:L629),SUM(L594:L624))</f>
        <v>0</v>
      </c>
      <c r="L633" s="40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</row>
    <row r="634" spans="1:26" ht="9.75" hidden="1" customHeight="1">
      <c r="A634" s="30"/>
      <c r="B634" s="44"/>
      <c r="C634" s="24"/>
      <c r="D634" s="44"/>
      <c r="E634" s="24"/>
      <c r="F634" s="24"/>
      <c r="G634" s="45"/>
      <c r="H634" s="45"/>
      <c r="I634" s="24"/>
      <c r="J634" s="24"/>
      <c r="K634" s="39">
        <f>SUMIF('Composição dos serv'!A:A,'PESM Itutinga Piloes pt2'!B634,'Composição dos serv'!K:K)</f>
        <v>0</v>
      </c>
      <c r="L634" s="40">
        <f t="shared" ref="L634:L636" si="170">ROUNDUP(K634*E634,0)</f>
        <v>0</v>
      </c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9.5" hidden="1" customHeight="1">
      <c r="A635" s="104" t="s">
        <v>357</v>
      </c>
      <c r="B635" s="104">
        <v>2</v>
      </c>
      <c r="C635" s="105" t="s">
        <v>358</v>
      </c>
      <c r="D635" s="105"/>
      <c r="E635" s="105"/>
      <c r="F635" s="105"/>
      <c r="G635" s="105"/>
      <c r="H635" s="105"/>
      <c r="I635" s="24"/>
      <c r="J635" s="24"/>
      <c r="K635" s="39">
        <f>SUMIF('Composição dos serv'!A:A,'PESM Itutinga Piloes pt2'!B635,'Composição dos serv'!K:K)</f>
        <v>0</v>
      </c>
      <c r="L635" s="40">
        <f t="shared" si="170"/>
        <v>0</v>
      </c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</row>
    <row r="636" spans="1:26" ht="6" hidden="1" customHeight="1">
      <c r="A636" s="59"/>
      <c r="B636" s="30"/>
      <c r="C636" s="30"/>
      <c r="D636" s="30"/>
      <c r="E636" s="30"/>
      <c r="F636" s="30"/>
      <c r="G636" s="30"/>
      <c r="H636" s="30"/>
      <c r="I636" s="24"/>
      <c r="J636" s="24"/>
      <c r="K636" s="39">
        <f>SUMIF('Composição dos serv'!A:A,'PESM Itutinga Piloes pt2'!B636,'Composição dos serv'!K:K)</f>
        <v>0</v>
      </c>
      <c r="L636" s="40">
        <f t="shared" si="170"/>
        <v>0</v>
      </c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4.25" hidden="1" customHeight="1">
      <c r="A637" s="33" t="str">
        <f>CONCATENATE(A635,".1")</f>
        <v>E15.1</v>
      </c>
      <c r="B637" s="33" t="s">
        <v>67</v>
      </c>
      <c r="C637" s="48" t="str">
        <f>VLOOKUP(B637,'Composição dos serv'!A:I,3,FALSE)</f>
        <v>DEMOLIÇÃO DE CALÇADAS E/OU CAMINHOS</v>
      </c>
      <c r="D637" s="48"/>
      <c r="E637" s="48"/>
      <c r="F637" s="48"/>
      <c r="G637" s="48"/>
      <c r="H637" s="48"/>
      <c r="I637" s="24"/>
      <c r="J637" s="24"/>
      <c r="K637" s="31"/>
      <c r="L637" s="32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</row>
    <row r="638" spans="1:26" ht="14.25" hidden="1" customHeight="1">
      <c r="A638" s="26" t="str">
        <f>A637</f>
        <v>E15.1</v>
      </c>
      <c r="B638" s="26" t="s">
        <v>69</v>
      </c>
      <c r="C638" s="49" t="str">
        <f>VLOOKUP(B638,'Composição dos serv'!A:I,3,FALSE)</f>
        <v>Demolição de calçada ou caminhos</v>
      </c>
      <c r="D638" s="50" t="str">
        <f>VLOOKUP(B638,'Composição dos serv'!A:I,4,FALSE)</f>
        <v>m²</v>
      </c>
      <c r="E638" s="49"/>
      <c r="F638" s="49">
        <f>ROUNDUP(E638*0.15,2)</f>
        <v>0</v>
      </c>
      <c r="G638" s="38">
        <f>SUMIF('Composição dos serv'!A:A,B638,'Composição dos serv'!I:I)</f>
        <v>0</v>
      </c>
      <c r="H638" s="51">
        <f t="shared" ref="H638:H639" si="171">E638*G638</f>
        <v>0</v>
      </c>
      <c r="I638" s="24"/>
      <c r="J638" s="24"/>
      <c r="K638" s="39">
        <f>SUMIF('Composição dos serv'!A:A,B638,'Composição dos serv'!K:K)</f>
        <v>0.12</v>
      </c>
      <c r="L638" s="40">
        <f t="shared" ref="L638:L668" si="172">ROUNDUP(K638*E638,0)</f>
        <v>0</v>
      </c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</row>
    <row r="639" spans="1:26" ht="14.25" hidden="1" customHeight="1">
      <c r="A639" s="26" t="str">
        <f>A637</f>
        <v>E15.1</v>
      </c>
      <c r="B639" s="26" t="s">
        <v>75</v>
      </c>
      <c r="C639" s="37" t="str">
        <f>VLOOKUP(B639,'Composição dos serv'!A:I,3,FALSE)</f>
        <v>Demolição de via Asfaltada, em paralelepípedo ou intertravados</v>
      </c>
      <c r="D639" s="26" t="str">
        <f>VLOOKUP(B639,'Composição dos serv'!A:I,4,FALSE)</f>
        <v>m²</v>
      </c>
      <c r="E639" s="37"/>
      <c r="F639" s="37">
        <f>ROUNDUP(E639*0.2,2)</f>
        <v>0</v>
      </c>
      <c r="G639" s="38">
        <f>SUMIF('Composição dos serv'!A:A,B639,'Composição dos serv'!I:I)</f>
        <v>0</v>
      </c>
      <c r="H639" s="38">
        <f t="shared" si="171"/>
        <v>0</v>
      </c>
      <c r="I639" s="24"/>
      <c r="J639" s="24"/>
      <c r="K639" s="39">
        <f>SUMIF('Composição dos serv'!A:A,B639,'Composição dos serv'!K:K)</f>
        <v>0.06</v>
      </c>
      <c r="L639" s="40">
        <f t="shared" si="172"/>
        <v>0</v>
      </c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</row>
    <row r="640" spans="1:26" ht="14.25" hidden="1" customHeight="1">
      <c r="A640" s="33" t="str">
        <f>CONCATENATE(A635,".2")</f>
        <v>E15.2</v>
      </c>
      <c r="B640" s="33" t="s">
        <v>85</v>
      </c>
      <c r="C640" s="34" t="str">
        <f>VLOOKUP(B640,'Composição dos serv'!A:I,3,FALSE)</f>
        <v>DEMOLIÇÃO DE MUROS E CERCAS</v>
      </c>
      <c r="D640" s="35"/>
      <c r="E640" s="35"/>
      <c r="F640" s="35"/>
      <c r="G640" s="35"/>
      <c r="H640" s="36"/>
      <c r="I640" s="24"/>
      <c r="J640" s="24"/>
      <c r="K640" s="39">
        <f>SUMIF('Composição dos serv'!A:A,B640,'Composição dos serv'!K:K)</f>
        <v>0</v>
      </c>
      <c r="L640" s="40">
        <f t="shared" si="172"/>
        <v>0</v>
      </c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</row>
    <row r="641" spans="1:23" ht="14.25" hidden="1" customHeight="1">
      <c r="A641" s="26" t="str">
        <f>A640</f>
        <v>E15.2</v>
      </c>
      <c r="B641" s="26" t="s">
        <v>87</v>
      </c>
      <c r="C641" s="37" t="str">
        <f>VLOOKUP(B641,'Composição dos serv'!A:I,3,FALSE)</f>
        <v>Demolição de muro em alvenaria ou alambrados</v>
      </c>
      <c r="D641" s="26" t="str">
        <f>VLOOKUP(B641,'Composição dos serv'!A:I,4,FALSE)</f>
        <v>m</v>
      </c>
      <c r="E641" s="37"/>
      <c r="F641" s="37">
        <f>ROUNDUP(E641*0.2*2.4,2)</f>
        <v>0</v>
      </c>
      <c r="G641" s="38">
        <f>SUMIF('Composição dos serv'!A:A,B641,'Composição dos serv'!I:I)</f>
        <v>0</v>
      </c>
      <c r="H641" s="38">
        <f t="shared" ref="H641:H642" si="173">E641*G641</f>
        <v>0</v>
      </c>
      <c r="I641" s="24"/>
      <c r="J641" s="24"/>
      <c r="K641" s="39">
        <f>SUMIF('Composição dos serv'!A:A,B641,'Composição dos serv'!K:K)</f>
        <v>0.26</v>
      </c>
      <c r="L641" s="40">
        <f t="shared" si="172"/>
        <v>0</v>
      </c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</row>
    <row r="642" spans="1:23" ht="14.25" hidden="1" customHeight="1">
      <c r="A642" s="26" t="str">
        <f>A640</f>
        <v>E15.2</v>
      </c>
      <c r="B642" s="26" t="s">
        <v>93</v>
      </c>
      <c r="C642" s="37" t="str">
        <f>VLOOKUP(B642,'Composição dos serv'!A:I,3,FALSE)</f>
        <v>Demolição de Cercas</v>
      </c>
      <c r="D642" s="26" t="str">
        <f>VLOOKUP(B642,'Composição dos serv'!A:I,4,FALSE)</f>
        <v>m</v>
      </c>
      <c r="E642" s="37"/>
      <c r="F642" s="37">
        <f>ROUNDUP(E642*0.1*1.8,2)</f>
        <v>0</v>
      </c>
      <c r="G642" s="38">
        <f>SUMIF('Composição dos serv'!A:A,B642,'Composição dos serv'!I:I)</f>
        <v>0</v>
      </c>
      <c r="H642" s="38">
        <f t="shared" si="173"/>
        <v>0</v>
      </c>
      <c r="I642" s="24"/>
      <c r="J642" s="24"/>
      <c r="K642" s="39">
        <f>SUMIF('Composição dos serv'!A:A,B642,'Composição dos serv'!K:K)</f>
        <v>0.06</v>
      </c>
      <c r="L642" s="40">
        <f t="shared" si="172"/>
        <v>0</v>
      </c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</row>
    <row r="643" spans="1:23" ht="14.25" hidden="1" customHeight="1">
      <c r="A643" s="33" t="str">
        <f>CONCATENATE(A635,".3")</f>
        <v>E15.3</v>
      </c>
      <c r="B643" s="33" t="s">
        <v>99</v>
      </c>
      <c r="C643" s="48" t="str">
        <f>VLOOKUP(B643,'Composição dos serv'!A:I,3,FALSE)</f>
        <v>COBERTURA</v>
      </c>
      <c r="D643" s="48"/>
      <c r="E643" s="48"/>
      <c r="F643" s="48"/>
      <c r="G643" s="48"/>
      <c r="H643" s="48"/>
      <c r="I643" s="24"/>
      <c r="J643" s="24"/>
      <c r="K643" s="39">
        <f>SUMIF('Composição dos serv'!A:A,B643,'Composição dos serv'!K:K)</f>
        <v>0</v>
      </c>
      <c r="L643" s="40">
        <f t="shared" si="172"/>
        <v>0</v>
      </c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</row>
    <row r="644" spans="1:23" ht="14.25" hidden="1" customHeight="1">
      <c r="A644" s="26" t="str">
        <f t="shared" ref="A644:A649" si="174">A643</f>
        <v>E15.3</v>
      </c>
      <c r="B644" s="26" t="s">
        <v>101</v>
      </c>
      <c r="C644" s="37" t="str">
        <f>VLOOKUP(B644,'Composição dos serv'!A:I,3,FALSE)</f>
        <v>Retirada de Estrutura de madeira sem telhas</v>
      </c>
      <c r="D644" s="26" t="str">
        <f>VLOOKUP(B644,'Composição dos serv'!A:I,4,FALSE)</f>
        <v>m²</v>
      </c>
      <c r="E644" s="37"/>
      <c r="F644" s="37">
        <f>ROUNDUP(E644*0.2,2)</f>
        <v>0</v>
      </c>
      <c r="G644" s="38">
        <f>SUMIF('Composição dos serv'!A:A,B644,'Composição dos serv'!I:I)</f>
        <v>0</v>
      </c>
      <c r="H644" s="38">
        <f t="shared" ref="H644:H649" si="175">E644*G644</f>
        <v>0</v>
      </c>
      <c r="I644" s="24"/>
      <c r="J644" s="24"/>
      <c r="K644" s="39">
        <f>SUMIF('Composição dos serv'!A:A,B644,'Composição dos serv'!K:K)</f>
        <v>0.03</v>
      </c>
      <c r="L644" s="40">
        <f t="shared" si="172"/>
        <v>0</v>
      </c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</row>
    <row r="645" spans="1:23" ht="14.25" hidden="1" customHeight="1">
      <c r="A645" s="26" t="str">
        <f t="shared" si="174"/>
        <v>E15.3</v>
      </c>
      <c r="B645" s="26" t="s">
        <v>105</v>
      </c>
      <c r="C645" s="37" t="str">
        <f>VLOOKUP(B645,'Composição dos serv'!A:I,3,FALSE)</f>
        <v>Retirada de Telhas de Barro com Estrutura em madeira (tesouras, treliças,...)</v>
      </c>
      <c r="D645" s="26" t="str">
        <f>VLOOKUP(B645,'Composição dos serv'!A:I,4,FALSE)</f>
        <v>m²</v>
      </c>
      <c r="E645" s="37"/>
      <c r="F645" s="37">
        <f>ROUNDUP(E645*0.08+E645*0.2,2)</f>
        <v>0</v>
      </c>
      <c r="G645" s="38">
        <f>SUMIF('Composição dos serv'!A:A,B645,'Composição dos serv'!I:I)</f>
        <v>0</v>
      </c>
      <c r="H645" s="38">
        <f t="shared" si="175"/>
        <v>0</v>
      </c>
      <c r="I645" s="24"/>
      <c r="J645" s="24"/>
      <c r="K645" s="39">
        <f>SUMIF('Composição dos serv'!A:A,B645,'Composição dos serv'!K:K)</f>
        <v>0.06</v>
      </c>
      <c r="L645" s="40">
        <f t="shared" si="172"/>
        <v>0</v>
      </c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</row>
    <row r="646" spans="1:23" ht="14.25" hidden="1" customHeight="1">
      <c r="A646" s="26" t="str">
        <f t="shared" si="174"/>
        <v>E15.3</v>
      </c>
      <c r="B646" s="26" t="s">
        <v>111</v>
      </c>
      <c r="C646" s="37" t="str">
        <f>VLOOKUP(B646,'Composição dos serv'!A:I,3,FALSE)</f>
        <v>Retirada de Telhas de amianto Sem Estrutura</v>
      </c>
      <c r="D646" s="26" t="str">
        <f>VLOOKUP(B646,'Composição dos serv'!A:I,4,FALSE)</f>
        <v>m²</v>
      </c>
      <c r="E646" s="37"/>
      <c r="F646" s="37"/>
      <c r="G646" s="38">
        <f>SUMIF('Composição dos serv'!A:A,B646,'Composição dos serv'!I:I)</f>
        <v>0</v>
      </c>
      <c r="H646" s="38">
        <f t="shared" si="175"/>
        <v>0</v>
      </c>
      <c r="I646" s="24"/>
      <c r="J646" s="24"/>
      <c r="K646" s="39">
        <f>SUMIF('Composição dos serv'!A:A,B646,'Composição dos serv'!K:K)</f>
        <v>0.02</v>
      </c>
      <c r="L646" s="40">
        <f t="shared" si="172"/>
        <v>0</v>
      </c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</row>
    <row r="647" spans="1:23" ht="14.25" hidden="1" customHeight="1">
      <c r="A647" s="26" t="str">
        <f t="shared" si="174"/>
        <v>E15.3</v>
      </c>
      <c r="B647" s="26" t="s">
        <v>117</v>
      </c>
      <c r="C647" s="37" t="str">
        <f>VLOOKUP(B647,'Composição dos serv'!A:I,3,FALSE)</f>
        <v>Retirada de Telhas de amianto com Estrutura em madeira (tesouras, treliças,...)</v>
      </c>
      <c r="D647" s="26" t="str">
        <f>VLOOKUP(B647,'Composição dos serv'!A:I,4,FALSE)</f>
        <v>m²</v>
      </c>
      <c r="E647" s="37"/>
      <c r="F647" s="37">
        <f>ROUNDUP(E647*0.1,2)</f>
        <v>0</v>
      </c>
      <c r="G647" s="38">
        <f>SUMIF('Composição dos serv'!A:A,B647,'Composição dos serv'!I:I)</f>
        <v>0</v>
      </c>
      <c r="H647" s="38">
        <f t="shared" si="175"/>
        <v>0</v>
      </c>
      <c r="I647" s="24"/>
      <c r="J647" s="24"/>
      <c r="K647" s="39">
        <f>SUMIF('Composição dos serv'!A:A,B647,'Composição dos serv'!K:K)</f>
        <v>0.04</v>
      </c>
      <c r="L647" s="40">
        <f t="shared" si="172"/>
        <v>0</v>
      </c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</row>
    <row r="648" spans="1:23" ht="14.25" hidden="1" customHeight="1">
      <c r="A648" s="26" t="str">
        <f t="shared" si="174"/>
        <v>E15.3</v>
      </c>
      <c r="B648" s="26" t="s">
        <v>121</v>
      </c>
      <c r="C648" s="37" t="str">
        <f>VLOOKUP(B648,'Composição dos serv'!A:I,3,FALSE)</f>
        <v>Retirada de Laje em concreto</v>
      </c>
      <c r="D648" s="26" t="str">
        <f>VLOOKUP(B648,'Composição dos serv'!A:I,4,FALSE)</f>
        <v>m²</v>
      </c>
      <c r="E648" s="37"/>
      <c r="F648" s="37">
        <f>ROUNDUP(E648*0.12,2)</f>
        <v>0</v>
      </c>
      <c r="G648" s="38">
        <f>SUMIF('Composição dos serv'!A:A,B648,'Composição dos serv'!I:I)</f>
        <v>0</v>
      </c>
      <c r="H648" s="38">
        <f t="shared" si="175"/>
        <v>0</v>
      </c>
      <c r="I648" s="24"/>
      <c r="J648" s="24"/>
      <c r="K648" s="39">
        <f>SUMIF('Composição dos serv'!A:A,B648,'Composição dos serv'!K:K)</f>
        <v>0.09</v>
      </c>
      <c r="L648" s="40">
        <f t="shared" si="172"/>
        <v>0</v>
      </c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</row>
    <row r="649" spans="1:23" ht="14.25" hidden="1" customHeight="1">
      <c r="A649" s="26" t="str">
        <f t="shared" si="174"/>
        <v>E15.3</v>
      </c>
      <c r="B649" s="26" t="s">
        <v>129</v>
      </c>
      <c r="C649" s="37" t="str">
        <f>VLOOKUP(B649,'Composição dos serv'!A:I,3,FALSE)</f>
        <v>Retirada de Forros qualquer com sistema de fixação</v>
      </c>
      <c r="D649" s="26" t="str">
        <f>VLOOKUP(B649,'Composição dos serv'!A:I,4,FALSE)</f>
        <v>m²</v>
      </c>
      <c r="E649" s="37"/>
      <c r="F649" s="37">
        <f>ROUNDUP(E649*0.1,2)</f>
        <v>0</v>
      </c>
      <c r="G649" s="38">
        <f>SUMIF('Composição dos serv'!A:A,B649,'Composição dos serv'!I:I)</f>
        <v>0</v>
      </c>
      <c r="H649" s="38">
        <f t="shared" si="175"/>
        <v>0</v>
      </c>
      <c r="I649" s="24"/>
      <c r="J649" s="24"/>
      <c r="K649" s="39">
        <f>SUMIF('Composição dos serv'!A:A,B649,'Composição dos serv'!K:K)</f>
        <v>0.04</v>
      </c>
      <c r="L649" s="40">
        <f t="shared" si="172"/>
        <v>0</v>
      </c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</row>
    <row r="650" spans="1:23" ht="14.25" hidden="1" customHeight="1">
      <c r="A650" s="33" t="str">
        <f>CONCATENATE(A635,".4")</f>
        <v>E15.4</v>
      </c>
      <c r="B650" s="33" t="s">
        <v>133</v>
      </c>
      <c r="C650" s="34" t="str">
        <f>VLOOKUP(B650,'Composição dos serv'!A:I,3,FALSE)</f>
        <v>PAREDES</v>
      </c>
      <c r="D650" s="35"/>
      <c r="E650" s="35"/>
      <c r="F650" s="35"/>
      <c r="G650" s="35"/>
      <c r="H650" s="36"/>
      <c r="I650" s="24"/>
      <c r="J650" s="24"/>
      <c r="K650" s="39">
        <f>SUMIF('Composição dos serv'!A:A,B650,'Composição dos serv'!K:K)</f>
        <v>0</v>
      </c>
      <c r="L650" s="40">
        <f t="shared" si="172"/>
        <v>0</v>
      </c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</row>
    <row r="651" spans="1:23" ht="14.25" hidden="1" customHeight="1">
      <c r="A651" s="26" t="str">
        <f>A650</f>
        <v>E15.4</v>
      </c>
      <c r="B651" s="26" t="s">
        <v>135</v>
      </c>
      <c r="C651" s="37" t="str">
        <f>VLOOKUP(B651,'Composição dos serv'!A:I,3,FALSE)</f>
        <v>Parede em Alvenaria - usar área construida</v>
      </c>
      <c r="D651" s="26" t="str">
        <f>VLOOKUP(B651,'Composição dos serv'!A:I,4,FALSE)</f>
        <v>m²</v>
      </c>
      <c r="E651" s="49"/>
      <c r="F651" s="37">
        <f>ROUNDUP(E651*0.8,2)</f>
        <v>0</v>
      </c>
      <c r="G651" s="38">
        <f>SUMIF('Composição dos serv'!A:A,B651,'Composição dos serv'!I:I)</f>
        <v>0</v>
      </c>
      <c r="H651" s="38">
        <f t="shared" ref="H651:H653" si="176">E651*G651</f>
        <v>0</v>
      </c>
      <c r="I651" s="24"/>
      <c r="J651" s="24"/>
      <c r="K651" s="39">
        <f>SUMIF('Composição dos serv'!A:A,B651,'Composição dos serv'!K:K)</f>
        <v>0.15000000000000002</v>
      </c>
      <c r="L651" s="40">
        <f t="shared" si="172"/>
        <v>0</v>
      </c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</row>
    <row r="652" spans="1:23" ht="14.25" hidden="1" customHeight="1">
      <c r="A652" s="26" t="str">
        <f>A650</f>
        <v>E15.4</v>
      </c>
      <c r="B652" s="26" t="s">
        <v>143</v>
      </c>
      <c r="C652" s="37" t="str">
        <f>VLOOKUP(B652,'Composição dos serv'!A:I,3,FALSE)</f>
        <v>Parede em Madeirite - Chapas de madeira compensada ou aglomerada - área construída</v>
      </c>
      <c r="D652" s="26" t="str">
        <f>VLOOKUP(B652,'Composição dos serv'!A:I,4,FALSE)</f>
        <v>m²</v>
      </c>
      <c r="E652" s="37"/>
      <c r="F652" s="37">
        <f>ROUNDUP(E652*0.21,2)</f>
        <v>0</v>
      </c>
      <c r="G652" s="38">
        <f>SUMIF('Composição dos serv'!A:A,B652,'Composição dos serv'!I:I)</f>
        <v>0</v>
      </c>
      <c r="H652" s="38">
        <f t="shared" si="176"/>
        <v>0</v>
      </c>
      <c r="I652" s="24"/>
      <c r="J652" s="24"/>
      <c r="K652" s="39">
        <f>SUMIF('Composição dos serv'!A:A,B652,'Composição dos serv'!K:K)</f>
        <v>0.15000000000000002</v>
      </c>
      <c r="L652" s="40">
        <f t="shared" si="172"/>
        <v>0</v>
      </c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</row>
    <row r="653" spans="1:23" ht="14.25" hidden="1" customHeight="1">
      <c r="A653" s="26" t="str">
        <f>A650</f>
        <v>E15.4</v>
      </c>
      <c r="B653" s="26" t="s">
        <v>145</v>
      </c>
      <c r="C653" s="37" t="str">
        <f>VLOOKUP(B653,'Composição dos serv'!A:I,3,FALSE)</f>
        <v>Parede em Lambril de madeira - área construída</v>
      </c>
      <c r="D653" s="26" t="str">
        <f>VLOOKUP(B653,'Composição dos serv'!A:I,4,FALSE)</f>
        <v>m²</v>
      </c>
      <c r="E653" s="37"/>
      <c r="F653" s="37">
        <f>ROUNDUP(E653*4*0.12,2)</f>
        <v>0</v>
      </c>
      <c r="G653" s="38">
        <f>SUMIF('Composição dos serv'!A:A,B653,'Composição dos serv'!I:I)</f>
        <v>0</v>
      </c>
      <c r="H653" s="38">
        <f t="shared" si="176"/>
        <v>0</v>
      </c>
      <c r="I653" s="24"/>
      <c r="J653" s="24"/>
      <c r="K653" s="39">
        <f>SUMIF('Composição dos serv'!A:A,B653,'Composição dos serv'!K:K)</f>
        <v>0.35000000000000009</v>
      </c>
      <c r="L653" s="40">
        <f t="shared" si="172"/>
        <v>0</v>
      </c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</row>
    <row r="654" spans="1:23" ht="14.25" hidden="1" customHeight="1">
      <c r="A654" s="33" t="str">
        <f>CONCATENATE(A635,".5")</f>
        <v>E15.5</v>
      </c>
      <c r="B654" s="33" t="s">
        <v>153</v>
      </c>
      <c r="C654" s="34" t="str">
        <f>VLOOKUP(B654,'Composição dos serv'!A:I,3,FALSE)</f>
        <v>PISO E FUNDAÇÃO</v>
      </c>
      <c r="D654" s="35"/>
      <c r="E654" s="35"/>
      <c r="F654" s="35"/>
      <c r="G654" s="35"/>
      <c r="H654" s="36"/>
      <c r="I654" s="24"/>
      <c r="J654" s="24"/>
      <c r="K654" s="39">
        <f>SUMIF('Composição dos serv'!A:A,B654,'Composição dos serv'!K:K)</f>
        <v>0</v>
      </c>
      <c r="L654" s="40">
        <f t="shared" si="172"/>
        <v>0</v>
      </c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</row>
    <row r="655" spans="1:23" ht="14.25" hidden="1" customHeight="1">
      <c r="A655" s="26" t="str">
        <f>A654</f>
        <v>E15.5</v>
      </c>
      <c r="B655" s="26" t="s">
        <v>155</v>
      </c>
      <c r="C655" s="37" t="str">
        <f>VLOOKUP(B655,'Composição dos serv'!A:I,3,FALSE)</f>
        <v>Piso da edificação com fundação</v>
      </c>
      <c r="D655" s="26" t="str">
        <f>VLOOKUP(B655,'Composição dos serv'!A:I,4,FALSE)</f>
        <v>m²</v>
      </c>
      <c r="E655" s="37"/>
      <c r="F655" s="37">
        <f>ROUNDUP(E655*0.24,2)</f>
        <v>0</v>
      </c>
      <c r="G655" s="38">
        <f>SUMIF('Composição dos serv'!A:A,B655,'Composição dos serv'!I:I)</f>
        <v>0</v>
      </c>
      <c r="H655" s="38">
        <f>E655*G655</f>
        <v>0</v>
      </c>
      <c r="I655" s="24"/>
      <c r="J655" s="24"/>
      <c r="K655" s="39">
        <f>SUMIF('Composição dos serv'!A:A,B655,'Composição dos serv'!K:K)</f>
        <v>0.17</v>
      </c>
      <c r="L655" s="40">
        <f t="shared" si="172"/>
        <v>0</v>
      </c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</row>
    <row r="656" spans="1:23" ht="14.25" hidden="1" customHeight="1">
      <c r="A656" s="33" t="str">
        <f>CONCATENATE(A635,".6")</f>
        <v>E15.6</v>
      </c>
      <c r="B656" s="33" t="s">
        <v>161</v>
      </c>
      <c r="C656" s="48" t="str">
        <f>VLOOKUP(B656,'Composição dos serv'!A:I,3,FALSE)</f>
        <v>ESTRUTURAS DIVERSAS</v>
      </c>
      <c r="D656" s="48"/>
      <c r="E656" s="48"/>
      <c r="F656" s="48"/>
      <c r="G656" s="48"/>
      <c r="H656" s="48"/>
      <c r="I656" s="24"/>
      <c r="J656" s="24"/>
      <c r="K656" s="39">
        <f>SUMIF('Composição dos serv'!A:A,B656,'Composição dos serv'!K:K)</f>
        <v>0</v>
      </c>
      <c r="L656" s="40">
        <f t="shared" si="172"/>
        <v>0</v>
      </c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</row>
    <row r="657" spans="1:23" ht="14.25" hidden="1" customHeight="1">
      <c r="A657" s="26" t="str">
        <f>A656</f>
        <v>E15.6</v>
      </c>
      <c r="B657" s="26" t="s">
        <v>163</v>
      </c>
      <c r="C657" s="37" t="str">
        <f>VLOOKUP(B657,'Composição dos serv'!A:I,3,FALSE)</f>
        <v>Escada em concreto com corrimão</v>
      </c>
      <c r="D657" s="26" t="str">
        <f>VLOOKUP(B657,'Composição dos serv'!A:I,4,FALSE)</f>
        <v>m</v>
      </c>
      <c r="E657" s="49"/>
      <c r="F657" s="37">
        <f>ROUNDUP(E657*1.2*0.25,2)</f>
        <v>0</v>
      </c>
      <c r="G657" s="38">
        <f>SUMIF('Composição dos serv'!A:A,B657,'Composição dos serv'!I:I)</f>
        <v>0</v>
      </c>
      <c r="H657" s="38">
        <f t="shared" ref="H657:H660" si="177">E657*G657</f>
        <v>0</v>
      </c>
      <c r="I657" s="24"/>
      <c r="J657" s="24"/>
      <c r="K657" s="39">
        <f>SUMIF('Composição dos serv'!A:A,B657,'Composição dos serv'!K:K)</f>
        <v>0.39</v>
      </c>
      <c r="L657" s="40">
        <f t="shared" si="172"/>
        <v>0</v>
      </c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</row>
    <row r="658" spans="1:23" ht="14.25" hidden="1" customHeight="1">
      <c r="A658" s="26" t="str">
        <f>A656</f>
        <v>E15.6</v>
      </c>
      <c r="B658" s="26" t="s">
        <v>169</v>
      </c>
      <c r="C658" s="37" t="str">
        <f>VLOOKUP(B658,'Composição dos serv'!A:I,3,FALSE)</f>
        <v>Entrada de Energia - medidor</v>
      </c>
      <c r="D658" s="26" t="str">
        <f>VLOOKUP(B658,'Composição dos serv'!A:I,4,FALSE)</f>
        <v>un</v>
      </c>
      <c r="E658" s="37"/>
      <c r="F658" s="37">
        <f>ROUNDUP(E658*(3.2+(((3.1415*0.4^2)/4)*6)),2)</f>
        <v>0</v>
      </c>
      <c r="G658" s="38">
        <f>SUMIF('Composição dos serv'!A:A,B658,'Composição dos serv'!I:I)</f>
        <v>0</v>
      </c>
      <c r="H658" s="38">
        <f t="shared" si="177"/>
        <v>0</v>
      </c>
      <c r="I658" s="24"/>
      <c r="J658" s="24"/>
      <c r="K658" s="39">
        <f>SUMIF('Composição dos serv'!A:A,B658,'Composição dos serv'!K:K)</f>
        <v>1.7600000000000002</v>
      </c>
      <c r="L658" s="40">
        <f t="shared" si="172"/>
        <v>0</v>
      </c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</row>
    <row r="659" spans="1:23" ht="14.25" hidden="1" customHeight="1">
      <c r="A659" s="26" t="str">
        <f>A656</f>
        <v>E15.6</v>
      </c>
      <c r="B659" s="26" t="s">
        <v>183</v>
      </c>
      <c r="C659" s="37" t="str">
        <f>VLOOKUP(B659,'Composição dos serv'!A:I,3,FALSE)</f>
        <v>Hidrômetro com abrigo</v>
      </c>
      <c r="D659" s="26" t="str">
        <f>VLOOKUP(B659,'Composição dos serv'!A:I,4,FALSE)</f>
        <v>un</v>
      </c>
      <c r="E659" s="37"/>
      <c r="F659" s="37">
        <f>ROUNDUP(E659*(1.7+0.1),2)</f>
        <v>0</v>
      </c>
      <c r="G659" s="38">
        <f>SUMIF('Composição dos serv'!A:A,B659,'Composição dos serv'!I:I)</f>
        <v>0</v>
      </c>
      <c r="H659" s="38">
        <f t="shared" si="177"/>
        <v>0</v>
      </c>
      <c r="I659" s="24"/>
      <c r="J659" s="24"/>
      <c r="K659" s="39">
        <f>SUMIF('Composição dos serv'!A:A,B659,'Composição dos serv'!K:K)</f>
        <v>0.44000000000000006</v>
      </c>
      <c r="L659" s="40">
        <f t="shared" si="172"/>
        <v>0</v>
      </c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</row>
    <row r="660" spans="1:23" ht="14.25" hidden="1" customHeight="1">
      <c r="A660" s="26" t="str">
        <f>A658</f>
        <v>E15.6</v>
      </c>
      <c r="B660" s="26" t="s">
        <v>191</v>
      </c>
      <c r="C660" s="37" t="str">
        <f>VLOOKUP(B660,'Composição dos serv'!A:I,3,FALSE)</f>
        <v>Aterro de Fossa com retirada de tampa</v>
      </c>
      <c r="D660" s="26" t="str">
        <f>VLOOKUP(B660,'Composição dos serv'!A:I,4,FALSE)</f>
        <v>un</v>
      </c>
      <c r="E660" s="37"/>
      <c r="F660" s="37">
        <f>ROUNDUP(E660*(0.4),2)</f>
        <v>0</v>
      </c>
      <c r="G660" s="38">
        <f>SUMIF('Composição dos serv'!A:A,B660,'Composição dos serv'!I:I)</f>
        <v>0</v>
      </c>
      <c r="H660" s="38">
        <f t="shared" si="177"/>
        <v>0</v>
      </c>
      <c r="I660" s="24"/>
      <c r="J660" s="24"/>
      <c r="K660" s="39">
        <f>SUMIF('Composição dos serv'!A:A,B660,'Composição dos serv'!K:K)</f>
        <v>0.85000000000000009</v>
      </c>
      <c r="L660" s="40">
        <f t="shared" si="172"/>
        <v>0</v>
      </c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</row>
    <row r="661" spans="1:23" ht="14.25" hidden="1" customHeight="1">
      <c r="A661" s="33" t="str">
        <f>CONCATENATE(A635,".7")</f>
        <v>E15.7</v>
      </c>
      <c r="B661" s="33" t="s">
        <v>195</v>
      </c>
      <c r="C661" s="48" t="str">
        <f>VLOOKUP(B661,'Composição dos serv'!A:I,3,FALSE)</f>
        <v>ACABAMENTOS DIVERSOS e OUTROS</v>
      </c>
      <c r="D661" s="48"/>
      <c r="E661" s="48"/>
      <c r="F661" s="48"/>
      <c r="G661" s="48"/>
      <c r="H661" s="48"/>
      <c r="I661" s="24"/>
      <c r="J661" s="24"/>
      <c r="K661" s="39">
        <f>SUMIF('Composição dos serv'!A:A,B661,'Composição dos serv'!K:K)</f>
        <v>0</v>
      </c>
      <c r="L661" s="40">
        <f t="shared" si="172"/>
        <v>0</v>
      </c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spans="1:23" ht="14.25" hidden="1" customHeight="1">
      <c r="A662" s="26" t="str">
        <f>A661</f>
        <v>E15.7</v>
      </c>
      <c r="B662" s="50" t="s">
        <v>197</v>
      </c>
      <c r="C662" s="49" t="str">
        <f>VLOOKUP(B662,'Composição dos serv'!A:I,3,FALSE)</f>
        <v>Remoção de aparelhos sanitarios - por banheiro</v>
      </c>
      <c r="D662" s="50" t="str">
        <f>VLOOKUP(B662,'Composição dos serv'!A:I,4,FALSE)</f>
        <v>unid</v>
      </c>
      <c r="E662" s="49"/>
      <c r="F662" s="37">
        <f t="shared" ref="F662:F664" si="178">ROUNDUP(E662*1,2)</f>
        <v>0</v>
      </c>
      <c r="G662" s="38">
        <f>SUMIF('Composição dos serv'!A:A,B662,'Composição dos serv'!I:I)</f>
        <v>0</v>
      </c>
      <c r="H662" s="51">
        <f t="shared" ref="H662:H668" si="179">E662*G662</f>
        <v>0</v>
      </c>
      <c r="I662" s="24"/>
      <c r="J662" s="24"/>
      <c r="K662" s="39">
        <f>SUMIF('Composição dos serv'!A:A,B662,'Composição dos serv'!K:K)</f>
        <v>0.19</v>
      </c>
      <c r="L662" s="40">
        <f t="shared" si="172"/>
        <v>0</v>
      </c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spans="1:23" ht="14.25" hidden="1" customHeight="1">
      <c r="A663" s="26" t="str">
        <f>A661</f>
        <v>E15.7</v>
      </c>
      <c r="B663" s="50" t="s">
        <v>209</v>
      </c>
      <c r="C663" s="37" t="str">
        <f>VLOOKUP(B663,'Composição dos serv'!A:I,3,FALSE)</f>
        <v>Remoção de aparelhos sanitarios - Cozinha e Área de Serviço</v>
      </c>
      <c r="D663" s="26" t="str">
        <f>VLOOKUP(B663,'Composição dos serv'!A:I,4,FALSE)</f>
        <v>unid</v>
      </c>
      <c r="E663" s="37"/>
      <c r="F663" s="37">
        <f t="shared" si="178"/>
        <v>0</v>
      </c>
      <c r="G663" s="38">
        <f>SUMIF('Composição dos serv'!A:A,B663,'Composição dos serv'!I:I)</f>
        <v>0</v>
      </c>
      <c r="H663" s="38">
        <f t="shared" si="179"/>
        <v>0</v>
      </c>
      <c r="I663" s="24"/>
      <c r="J663" s="24"/>
      <c r="K663" s="39">
        <f>SUMIF('Composição dos serv'!A:A,B663,'Composição dos serv'!K:K)</f>
        <v>0.21</v>
      </c>
      <c r="L663" s="40">
        <f t="shared" si="172"/>
        <v>0</v>
      </c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spans="1:23" ht="14.25" hidden="1" customHeight="1">
      <c r="A664" s="26" t="str">
        <f>A661</f>
        <v>E15.7</v>
      </c>
      <c r="B664" s="50" t="s">
        <v>215</v>
      </c>
      <c r="C664" s="37" t="str">
        <f>VLOOKUP(B664,'Composição dos serv'!A:I,3,FALSE)</f>
        <v>Remoção de caixa d'agua</v>
      </c>
      <c r="D664" s="26" t="str">
        <f>VLOOKUP(B664,'Composição dos serv'!A:I,4,FALSE)</f>
        <v>unid</v>
      </c>
      <c r="E664" s="37"/>
      <c r="F664" s="37">
        <f t="shared" si="178"/>
        <v>0</v>
      </c>
      <c r="G664" s="38">
        <f>SUMIF('Composição dos serv'!A:A,B664,'Composição dos serv'!I:I)</f>
        <v>0</v>
      </c>
      <c r="H664" s="38">
        <f t="shared" si="179"/>
        <v>0</v>
      </c>
      <c r="I664" s="24"/>
      <c r="J664" s="24"/>
      <c r="K664" s="39">
        <f>SUMIF('Composição dos serv'!A:A,B664,'Composição dos serv'!K:K)</f>
        <v>0.42000000000000004</v>
      </c>
      <c r="L664" s="40">
        <f t="shared" si="172"/>
        <v>0</v>
      </c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spans="1:23" ht="14.25" hidden="1" customHeight="1">
      <c r="A665" s="26" t="str">
        <f>A661</f>
        <v>E15.7</v>
      </c>
      <c r="B665" s="50" t="s">
        <v>219</v>
      </c>
      <c r="C665" s="37" t="str">
        <f>VLOOKUP(B665,'Composição dos serv'!A:I,3,FALSE)</f>
        <v>Remoção do Sistema de Para raios - área do telhado</v>
      </c>
      <c r="D665" s="26" t="str">
        <f>VLOOKUP(B665,'Composição dos serv'!A:I,4,FALSE)</f>
        <v>m²</v>
      </c>
      <c r="E665" s="37"/>
      <c r="F665" s="37">
        <f>ROUNDUP(E665/60,2)</f>
        <v>0</v>
      </c>
      <c r="G665" s="38">
        <f>SUMIF('Composição dos serv'!A:A,B665,'Composição dos serv'!I:I)</f>
        <v>0</v>
      </c>
      <c r="H665" s="38">
        <f t="shared" si="179"/>
        <v>0</v>
      </c>
      <c r="I665" s="24"/>
      <c r="J665" s="24"/>
      <c r="K665" s="39">
        <f>SUMIF('Composição dos serv'!A:A,B665,'Composição dos serv'!K:K)</f>
        <v>0.05</v>
      </c>
      <c r="L665" s="40">
        <f t="shared" si="172"/>
        <v>0</v>
      </c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spans="1:23" ht="14.25" hidden="1" customHeight="1">
      <c r="A666" s="26" t="str">
        <f>A661</f>
        <v>E15.7</v>
      </c>
      <c r="B666" s="50" t="s">
        <v>227</v>
      </c>
      <c r="C666" s="37" t="str">
        <f>VLOOKUP(B666,'Composição dos serv'!A:I,3,FALSE)</f>
        <v>Janelas</v>
      </c>
      <c r="D666" s="26" t="str">
        <f>VLOOKUP(B666,'Composição dos serv'!A:I,4,FALSE)</f>
        <v>un</v>
      </c>
      <c r="E666" s="37"/>
      <c r="F666" s="37">
        <f>ROUNDUP(E666*1.5*1.2*0.2,2)</f>
        <v>0</v>
      </c>
      <c r="G666" s="38">
        <f>SUMIF('Composição dos serv'!A:A,B666,'Composição dos serv'!I:I)</f>
        <v>0</v>
      </c>
      <c r="H666" s="38">
        <f t="shared" si="179"/>
        <v>0</v>
      </c>
      <c r="I666" s="24"/>
      <c r="J666" s="24"/>
      <c r="K666" s="39">
        <f>SUMIF('Composição dos serv'!A:A,B666,'Composição dos serv'!K:K)</f>
        <v>0</v>
      </c>
      <c r="L666" s="40">
        <f t="shared" si="172"/>
        <v>0</v>
      </c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spans="1:23" ht="14.25" hidden="1" customHeight="1">
      <c r="A667" s="26" t="str">
        <f>A661</f>
        <v>E15.7</v>
      </c>
      <c r="B667" s="50" t="s">
        <v>234</v>
      </c>
      <c r="C667" s="37" t="str">
        <f>VLOOKUP(B667,'Composição dos serv'!A:I,3,FALSE)</f>
        <v>Portas</v>
      </c>
      <c r="D667" s="26" t="str">
        <f>VLOOKUP(B667,'Composição dos serv'!A:I,4,FALSE)</f>
        <v>un</v>
      </c>
      <c r="E667" s="37"/>
      <c r="F667" s="37">
        <f>ROUNDUP(E667*2.1*0.9*0.2,2)</f>
        <v>0</v>
      </c>
      <c r="G667" s="38">
        <f>SUMIF('Composição dos serv'!A:A,B667,'Composição dos serv'!I:I)</f>
        <v>0</v>
      </c>
      <c r="H667" s="38">
        <f t="shared" si="179"/>
        <v>0</v>
      </c>
      <c r="I667" s="24"/>
      <c r="J667" s="24"/>
      <c r="K667" s="39">
        <f>SUMIF('Composição dos serv'!A:A,B667,'Composição dos serv'!K:K)</f>
        <v>0</v>
      </c>
      <c r="L667" s="40">
        <f t="shared" si="172"/>
        <v>0</v>
      </c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spans="1:23" ht="14.25" hidden="1" customHeight="1">
      <c r="A668" s="26" t="str">
        <f>A661</f>
        <v>E15.7</v>
      </c>
      <c r="B668" s="50" t="s">
        <v>236</v>
      </c>
      <c r="C668" s="37" t="str">
        <f>VLOOKUP(B668,'Composição dos serv'!A:I,3,FALSE)</f>
        <v>Guarda corpo de metal</v>
      </c>
      <c r="D668" s="26" t="str">
        <f>VLOOKUP(B668,'Composição dos serv'!A:I,4,FALSE)</f>
        <v>m</v>
      </c>
      <c r="E668" s="37"/>
      <c r="F668" s="37">
        <f>ROUNDUP(E668*1.7*0.05,2)</f>
        <v>0</v>
      </c>
      <c r="G668" s="38">
        <f>SUMIF('Composição dos serv'!A:A,B668,'Composição dos serv'!I:I)</f>
        <v>0</v>
      </c>
      <c r="H668" s="38">
        <f t="shared" si="179"/>
        <v>0</v>
      </c>
      <c r="I668" s="24"/>
      <c r="J668" s="24"/>
      <c r="K668" s="39">
        <f>SUMIF('Composição dos serv'!A:A,B668,'Composição dos serv'!K:K)</f>
        <v>0</v>
      </c>
      <c r="L668" s="40">
        <f t="shared" si="172"/>
        <v>0</v>
      </c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spans="1:23" ht="14.25" hidden="1" customHeight="1">
      <c r="A669" s="33" t="str">
        <f>CONCATENATE(A635,".8")</f>
        <v>E15.8</v>
      </c>
      <c r="B669" s="33" t="s">
        <v>240</v>
      </c>
      <c r="C669" s="48" t="str">
        <f>VLOOKUP(B669,'Composição dos serv'!A:I,3,FALSE)</f>
        <v>ENTULHO</v>
      </c>
      <c r="D669" s="48"/>
      <c r="E669" s="48"/>
      <c r="F669" s="48"/>
      <c r="G669" s="48"/>
      <c r="H669" s="48"/>
      <c r="I669" s="24"/>
      <c r="J669" s="24"/>
      <c r="K669" s="39">
        <f>SUMIF('Composição dos serv'!A:A,B669,'Composição dos serv'!K:K)</f>
        <v>0</v>
      </c>
      <c r="L669" s="40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spans="1:23" ht="14.25" hidden="1" customHeight="1">
      <c r="A670" s="26" t="str">
        <f>A669</f>
        <v>E15.8</v>
      </c>
      <c r="B670" s="50" t="s">
        <v>242</v>
      </c>
      <c r="C670" s="49" t="str">
        <f>VLOOKUP(B670,'Composição dos serv'!A:I,3,FALSE)</f>
        <v>Transporte e espalhamento Manual do entulho a ser reutilizado</v>
      </c>
      <c r="D670" s="50" t="s">
        <v>291</v>
      </c>
      <c r="E670" s="49"/>
      <c r="F670" s="52">
        <f>IF(E670=1,ROUNDUP((IF(E638&lt;&gt;"",F638,0)+IF(E639&lt;&gt;"",F639,0)+IF(E641&lt;&gt;"",F641,0)+IF(E642&lt;&gt;"",F642*0.34,0)+IF(E645&lt;&gt;"",F645*0.43,0)+IF(E648&lt;&gt;"",F648*0.8,0)+IF(E651&lt;&gt;"",F651*(0.78),0)+IF(E655&lt;&gt;"",F655*0.98,0)+IF(E657&lt;&gt;"",F657*0.91,0)+IF(E658&lt;&gt;"",F658*0.26,0)+IF(E659&lt;&gt;"",F659*0.24,0)+IF(E660&lt;&gt;"",F660,0)),2),0)</f>
        <v>0</v>
      </c>
      <c r="G670" s="51">
        <f>SUMIF('Composição dos serv'!A:A,B670,'Composição dos serv'!I:I)</f>
        <v>0</v>
      </c>
      <c r="H670" s="51">
        <f t="shared" ref="H670:H671" si="180">F670*G670</f>
        <v>0</v>
      </c>
      <c r="I670" s="24"/>
      <c r="J670" s="24"/>
      <c r="K670" s="39">
        <f>SUMIF('Composição dos serv'!A:A,B670,'Composição dos serv'!K:K)</f>
        <v>0.15000000000000002</v>
      </c>
      <c r="L670" s="40">
        <f t="shared" ref="L670:L673" si="181">ROUNDUP(K670*F670,0)</f>
        <v>0</v>
      </c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spans="1:23" ht="14.25" hidden="1" customHeight="1">
      <c r="A671" s="26" t="str">
        <f>A669</f>
        <v>E15.8</v>
      </c>
      <c r="B671" s="50" t="s">
        <v>246</v>
      </c>
      <c r="C671" s="49" t="str">
        <f>VLOOKUP(B671,'Composição dos serv'!A:I,3,FALSE)</f>
        <v>Remoção e Transporte Mecanizado do entulho a ser reutilizado</v>
      </c>
      <c r="D671" s="50" t="s">
        <v>291</v>
      </c>
      <c r="E671" s="49"/>
      <c r="F671" s="52">
        <f>IF(E671=1,SUM(F638:F668)-H675,0)</f>
        <v>0</v>
      </c>
      <c r="G671" s="51">
        <f>SUMIF('Composição dos serv'!A:A,B671,'Composição dos serv'!I:I)</f>
        <v>0</v>
      </c>
      <c r="H671" s="51">
        <f t="shared" si="180"/>
        <v>0</v>
      </c>
      <c r="I671" s="24"/>
      <c r="J671" s="24"/>
      <c r="K671" s="39">
        <f>SUMIF('Composição dos serv'!A:A,B671,'Composição dos serv'!K:K)</f>
        <v>0.02</v>
      </c>
      <c r="L671" s="40">
        <f t="shared" si="181"/>
        <v>0</v>
      </c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spans="1:23" ht="14.25" hidden="1" customHeight="1">
      <c r="A672" s="26" t="str">
        <f>A669</f>
        <v>E15.8</v>
      </c>
      <c r="B672" s="50" t="s">
        <v>252</v>
      </c>
      <c r="C672" s="49" t="str">
        <f>VLOOKUP(B672,'Composição dos serv'!A:I,3,FALSE)</f>
        <v>Remoção do entulho com caçamba</v>
      </c>
      <c r="D672" s="50" t="s">
        <v>291</v>
      </c>
      <c r="E672" s="49"/>
      <c r="F672" s="52">
        <f>IF(E672=1,SUM(F638:F668),0)</f>
        <v>0</v>
      </c>
      <c r="G672" s="51">
        <f>SUMIF('Composição dos serv'!A:A,B672,'Composição dos serv'!I:I)</f>
        <v>0</v>
      </c>
      <c r="H672" s="51">
        <f>IF(E672&gt;1,"OPÇÃO ERRADA",F672*G672)+IF(G675=1,H675*G672,0)</f>
        <v>0</v>
      </c>
      <c r="I672" s="24"/>
      <c r="J672" s="24"/>
      <c r="K672" s="39">
        <f>SUMIF('Composição dos serv'!A:A,B672,'Composição dos serv'!K:K)</f>
        <v>0.02</v>
      </c>
      <c r="L672" s="40">
        <f t="shared" si="181"/>
        <v>0</v>
      </c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spans="1:26" ht="14.25" hidden="1" customHeight="1">
      <c r="A673" s="26" t="str">
        <f>A669</f>
        <v>E15.8</v>
      </c>
      <c r="B673" s="50" t="s">
        <v>256</v>
      </c>
      <c r="C673" s="49" t="str">
        <f>VLOOKUP(B673,'Composição dos serv'!A:I,3,FALSE)</f>
        <v>Remoção e Transporte Mecanizado do entulho para bota fora</v>
      </c>
      <c r="D673" s="50" t="s">
        <v>291</v>
      </c>
      <c r="E673" s="49"/>
      <c r="F673" s="52">
        <f>IF(E673=1,SUM(F638:F668),0)</f>
        <v>0</v>
      </c>
      <c r="G673" s="51">
        <f>SUMIF('Composição dos serv'!A:A,B673,'Composição dos serv'!I:I)</f>
        <v>0</v>
      </c>
      <c r="H673" s="51">
        <f>IF(E673&gt;1,"OPÇÃO ERRADA",F673*G673)+IF(G675=2,H675*G673,0)</f>
        <v>0</v>
      </c>
      <c r="I673" s="24"/>
      <c r="J673" s="24"/>
      <c r="K673" s="39">
        <f>SUMIF('Composição dos serv'!A:A,B673,'Composição dos serv'!K:K)</f>
        <v>7.9999999999999988E-2</v>
      </c>
      <c r="L673" s="40">
        <f t="shared" si="181"/>
        <v>0</v>
      </c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spans="1:26" ht="14.25" hidden="1" customHeight="1">
      <c r="A674" s="26" t="str">
        <f>A669</f>
        <v>E15.8</v>
      </c>
      <c r="B674" s="50" t="s">
        <v>264</v>
      </c>
      <c r="C674" s="49" t="str">
        <f>VLOOKUP(B674,'Composição dos serv'!A:I,3,FALSE)</f>
        <v>Remoção de telhas em cimento amianto</v>
      </c>
      <c r="D674" s="26" t="str">
        <f>VLOOKUP(B674,'Composição dos serv'!A:I,4,FALSE)</f>
        <v>m²</v>
      </c>
      <c r="E674" s="49">
        <f>SUM(E646:E647)</f>
        <v>0</v>
      </c>
      <c r="F674" s="52"/>
      <c r="G674" s="51">
        <f>SUMIF('Composição dos serv'!A:A,B674,'Composição dos serv'!I:I)</f>
        <v>0</v>
      </c>
      <c r="H674" s="51">
        <f>G674*E674</f>
        <v>0</v>
      </c>
      <c r="I674" s="24"/>
      <c r="J674" s="24"/>
      <c r="K674" s="39"/>
      <c r="L674" s="40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spans="1:26" ht="14.25" customHeight="1">
      <c r="A675" s="53"/>
      <c r="B675" s="53"/>
      <c r="C675" s="37" t="str">
        <f>IF(E672&lt;&gt;1,IF(E673&lt;&gt;1,IF(H675&lt;&gt;0,"Há Material não reutilizavel qual a destinação para ele?",""),""),"")</f>
        <v/>
      </c>
      <c r="D675" s="168" t="str">
        <f>IF(E672&lt;&gt;1,IF(E673&lt;&gt;1,IF(H675&lt;&gt;0,"Caçamba = 1; Aterro = 2",""),""),"")</f>
        <v/>
      </c>
      <c r="E675" s="169"/>
      <c r="F675" s="170"/>
      <c r="G675" s="37"/>
      <c r="H675" s="54">
        <f>IF(E672=1,0,IF(E673=1,0,ROUNDUP((IF(E642&lt;&gt;"",F642*0.66,0)+IF(E645&lt;&gt;"",F645*0.57,0)+IF(E647&lt;&gt;"",F647,0)+IF(E648&lt;&gt;"",F648*0.2,0)+IF(E649&lt;&gt;"",F649,0)+IF(E651&lt;&gt;"",F651*0.22,0)+IF(E652&lt;&gt;"",F652,0)+IF(E653&lt;&gt;"",F653,0)+IF(E655&lt;&gt;"",F655*0.02,0)+IF(E657&lt;&gt;"",F657*0.09,0)+IF(E658&lt;&gt;"",F658*0.74,0)+IF(E659&lt;&gt;"",F659*(1-0.24),0)+IF(E662&lt;&gt;"",F662,0)+IF(E663&lt;&gt;"",F663,0)+IF(E664&lt;&gt;"",F664,0)+IF(E665&lt;&gt;"",F665,0)+IF(E666&lt;&gt;"",F666,0)+IF(E667&lt;&gt;"",F667,0)+IF(E668&lt;&gt;"",F668,0)+IF(E646&lt;&gt;"",F646,0)+IF(E644&lt;&gt;"",F644,0)),2)))</f>
        <v>0</v>
      </c>
      <c r="I675" s="24"/>
      <c r="J675" s="24"/>
      <c r="K675" s="39"/>
      <c r="L675" s="40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spans="1:26" ht="6" hidden="1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39">
        <f>SUMIF('Composição dos serv'!A:A,'PESM Itutinga Piloes pt2'!B676,'Composição dos serv'!K:K)</f>
        <v>0</v>
      </c>
      <c r="L676" s="40">
        <f>ROUNDUP(K676*E676,0)</f>
        <v>0</v>
      </c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4.25" hidden="1" customHeight="1">
      <c r="A677" s="104" t="str">
        <f>A635</f>
        <v>E15</v>
      </c>
      <c r="B677" s="171" t="str">
        <f>C635</f>
        <v>EDIFICAÇÃO 30 - Gleba 389</v>
      </c>
      <c r="C677" s="169"/>
      <c r="D677" s="172" t="s">
        <v>280</v>
      </c>
      <c r="E677" s="169"/>
      <c r="F677" s="169"/>
      <c r="G677" s="106">
        <f>SUM(H638:H674)</f>
        <v>0</v>
      </c>
      <c r="H677" s="107"/>
      <c r="I677" s="24"/>
      <c r="J677" s="24"/>
      <c r="K677" s="39">
        <f>IF(SUM(L670:L673)&gt;SUM(L638:L668),SUM(L670:L673),SUM(L638:L668))</f>
        <v>0</v>
      </c>
      <c r="L677" s="40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spans="1:26" ht="14.25" customHeight="1">
      <c r="I678" s="24"/>
      <c r="J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spans="1:26" ht="14.25" customHeight="1">
      <c r="I679" s="24"/>
      <c r="J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spans="1:26" ht="14.25" customHeight="1">
      <c r="I680" s="24"/>
      <c r="J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spans="1:26" ht="14.25" customHeight="1">
      <c r="I681" s="24"/>
      <c r="J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spans="1:26" ht="14.25" customHeight="1">
      <c r="I682" s="24"/>
      <c r="J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spans="1:26" ht="14.25" customHeight="1">
      <c r="I683" s="24"/>
      <c r="J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spans="1:26" ht="14.25" customHeight="1">
      <c r="I684" s="24"/>
      <c r="J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spans="1:26" ht="14.25" customHeight="1">
      <c r="I685" s="24"/>
      <c r="J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spans="1:26" ht="14.25" customHeight="1">
      <c r="I686" s="24"/>
      <c r="J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spans="1:26" ht="14.25" customHeight="1">
      <c r="I687" s="24"/>
      <c r="J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spans="1:26" ht="14.25" customHeight="1">
      <c r="I688" s="24"/>
      <c r="J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spans="9:23" ht="14.25" customHeight="1">
      <c r="I689" s="24"/>
      <c r="J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spans="9:23" ht="14.25" customHeight="1">
      <c r="I690" s="24"/>
      <c r="J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spans="9:23" ht="14.25" customHeight="1">
      <c r="I691" s="24"/>
      <c r="J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spans="9:23" ht="14.25" customHeight="1">
      <c r="I692" s="24"/>
      <c r="J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spans="9:23" ht="14.25" customHeight="1">
      <c r="I693" s="24"/>
      <c r="J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spans="9:23" ht="14.25" customHeight="1">
      <c r="I694" s="24"/>
      <c r="J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spans="9:23" ht="14.25" customHeight="1">
      <c r="I695" s="24"/>
      <c r="J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</row>
    <row r="696" spans="9:23" ht="14.25" customHeight="1">
      <c r="I696" s="24"/>
      <c r="J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spans="9:23" ht="14.25" customHeight="1">
      <c r="I697" s="24"/>
      <c r="J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spans="9:23" ht="14.25" customHeight="1">
      <c r="I698" s="24"/>
      <c r="J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spans="9:23" ht="14.25" customHeight="1">
      <c r="I699" s="24"/>
      <c r="J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</row>
    <row r="700" spans="9:23" ht="14.25" customHeight="1">
      <c r="I700" s="24"/>
      <c r="J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spans="9:23" ht="14.25" customHeight="1">
      <c r="I701" s="24"/>
      <c r="J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spans="9:23" ht="14.25" customHeight="1">
      <c r="I702" s="24"/>
      <c r="J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spans="9:23" ht="14.25" customHeight="1">
      <c r="I703" s="24"/>
      <c r="J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</row>
    <row r="704" spans="9:23" ht="14.25" customHeight="1">
      <c r="I704" s="24"/>
      <c r="J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spans="9:23" ht="14.25" customHeight="1">
      <c r="I705" s="24"/>
      <c r="J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spans="9:23" ht="14.25" customHeight="1">
      <c r="I706" s="24"/>
      <c r="J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spans="9:23" ht="14.25" customHeight="1">
      <c r="I707" s="24"/>
      <c r="J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</row>
    <row r="708" spans="9:23" ht="14.25" customHeight="1">
      <c r="I708" s="24"/>
      <c r="J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spans="9:23" ht="14.25" customHeight="1">
      <c r="I709" s="24"/>
      <c r="J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spans="9:23" ht="14.25" customHeight="1">
      <c r="I710" s="24"/>
      <c r="J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spans="9:23" ht="14.25" customHeight="1">
      <c r="I711" s="24"/>
      <c r="J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</row>
    <row r="712" spans="9:23" ht="14.25" customHeight="1">
      <c r="I712" s="24"/>
      <c r="J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spans="9:23" ht="14.25" customHeight="1">
      <c r="I713" s="24"/>
      <c r="J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spans="9:23" ht="14.25" customHeight="1">
      <c r="I714" s="24"/>
      <c r="J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spans="9:23" ht="14.25" customHeight="1">
      <c r="I715" s="24"/>
      <c r="J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</row>
    <row r="716" spans="9:23" ht="14.25" customHeight="1">
      <c r="I716" s="24"/>
      <c r="J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</row>
    <row r="717" spans="9:23" ht="14.25" customHeight="1">
      <c r="I717" s="24"/>
      <c r="J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</row>
    <row r="718" spans="9:23" ht="14.25" customHeight="1">
      <c r="I718" s="24"/>
      <c r="J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</row>
    <row r="719" spans="9:23" ht="14.25" customHeight="1">
      <c r="I719" s="24"/>
      <c r="J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</row>
    <row r="720" spans="9:23" ht="14.25" customHeight="1">
      <c r="I720" s="24"/>
      <c r="J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</row>
    <row r="721" spans="9:23" ht="14.25" customHeight="1">
      <c r="I721" s="24"/>
      <c r="J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</row>
    <row r="722" spans="9:23" ht="14.25" customHeight="1">
      <c r="I722" s="24"/>
      <c r="J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</row>
    <row r="723" spans="9:23" ht="14.25" customHeight="1">
      <c r="I723" s="24"/>
      <c r="J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</row>
    <row r="724" spans="9:23" ht="14.25" customHeight="1">
      <c r="I724" s="24"/>
      <c r="J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</row>
    <row r="725" spans="9:23" ht="14.25" customHeight="1">
      <c r="I725" s="24"/>
      <c r="J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</row>
    <row r="726" spans="9:23" ht="14.25" customHeight="1">
      <c r="I726" s="24"/>
      <c r="J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</row>
    <row r="727" spans="9:23" ht="14.25" customHeight="1">
      <c r="I727" s="24"/>
      <c r="J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</row>
    <row r="728" spans="9:23" ht="14.25" customHeight="1">
      <c r="I728" s="24"/>
      <c r="J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</row>
    <row r="729" spans="9:23" ht="14.25" customHeight="1">
      <c r="I729" s="24"/>
      <c r="J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</row>
    <row r="730" spans="9:23" ht="14.25" customHeight="1">
      <c r="I730" s="24"/>
      <c r="J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</row>
    <row r="731" spans="9:23" ht="14.25" customHeight="1">
      <c r="I731" s="24"/>
      <c r="J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</row>
    <row r="732" spans="9:23" ht="14.25" customHeight="1">
      <c r="I732" s="24"/>
      <c r="J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</row>
    <row r="733" spans="9:23" ht="14.25" customHeight="1">
      <c r="I733" s="24"/>
      <c r="J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</row>
    <row r="734" spans="9:23" ht="14.25" customHeight="1">
      <c r="I734" s="24"/>
      <c r="J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</row>
    <row r="735" spans="9:23" ht="14.25" customHeight="1">
      <c r="I735" s="24"/>
      <c r="J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</row>
    <row r="736" spans="9:23" ht="14.25" customHeight="1">
      <c r="I736" s="24"/>
      <c r="J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</row>
    <row r="737" spans="9:23" ht="14.25" customHeight="1">
      <c r="I737" s="24"/>
      <c r="J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</row>
    <row r="738" spans="9:23" ht="14.25" customHeight="1">
      <c r="I738" s="24"/>
      <c r="J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</row>
    <row r="739" spans="9:23" ht="14.25" customHeight="1">
      <c r="I739" s="24"/>
      <c r="J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</row>
    <row r="740" spans="9:23" ht="14.25" customHeight="1">
      <c r="I740" s="24"/>
      <c r="J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</row>
    <row r="741" spans="9:23" ht="14.25" customHeight="1">
      <c r="I741" s="24"/>
      <c r="J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</row>
    <row r="742" spans="9:23" ht="14.25" customHeight="1">
      <c r="I742" s="24"/>
      <c r="J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</row>
    <row r="743" spans="9:23" ht="14.25" customHeight="1">
      <c r="I743" s="24"/>
      <c r="J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</row>
    <row r="744" spans="9:23" ht="14.25" customHeight="1">
      <c r="I744" s="24"/>
      <c r="J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</row>
    <row r="745" spans="9:23" ht="14.25" customHeight="1">
      <c r="I745" s="24"/>
      <c r="J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</row>
    <row r="746" spans="9:23" ht="14.25" customHeight="1">
      <c r="I746" s="24"/>
      <c r="J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</row>
    <row r="747" spans="9:23" ht="14.25" customHeight="1">
      <c r="I747" s="24"/>
      <c r="J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</row>
    <row r="748" spans="9:23" ht="14.25" customHeight="1">
      <c r="I748" s="24"/>
      <c r="J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</row>
    <row r="749" spans="9:23" ht="14.25" customHeight="1">
      <c r="I749" s="24"/>
      <c r="J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</row>
    <row r="750" spans="9:23" ht="14.25" customHeight="1">
      <c r="I750" s="24"/>
      <c r="J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</row>
    <row r="751" spans="9:23" ht="14.25" customHeight="1">
      <c r="I751" s="24"/>
      <c r="J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</row>
    <row r="752" spans="9:23" ht="14.25" customHeight="1">
      <c r="I752" s="24"/>
      <c r="J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</row>
    <row r="753" spans="9:23" ht="14.25" customHeight="1">
      <c r="I753" s="24"/>
      <c r="J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</row>
    <row r="754" spans="9:23" ht="14.25" customHeight="1">
      <c r="I754" s="24"/>
      <c r="J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</row>
    <row r="755" spans="9:23" ht="14.25" customHeight="1">
      <c r="I755" s="24"/>
      <c r="J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</row>
    <row r="756" spans="9:23" ht="14.25" customHeight="1">
      <c r="I756" s="24"/>
      <c r="J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</row>
    <row r="757" spans="9:23" ht="14.25" customHeight="1">
      <c r="I757" s="24"/>
      <c r="J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</row>
    <row r="758" spans="9:23" ht="14.25" customHeight="1">
      <c r="I758" s="24"/>
      <c r="J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</row>
    <row r="759" spans="9:23" ht="14.25" customHeight="1">
      <c r="I759" s="24"/>
      <c r="J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</row>
    <row r="760" spans="9:23" ht="14.25" customHeight="1">
      <c r="I760" s="24"/>
      <c r="J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</row>
    <row r="761" spans="9:23" ht="14.25" customHeight="1">
      <c r="I761" s="24"/>
      <c r="J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</row>
    <row r="762" spans="9:23" ht="14.25" customHeight="1">
      <c r="I762" s="24"/>
      <c r="J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</row>
    <row r="763" spans="9:23" ht="14.25" customHeight="1">
      <c r="I763" s="24"/>
      <c r="J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</row>
    <row r="764" spans="9:23" ht="14.25" customHeight="1">
      <c r="I764" s="24"/>
      <c r="J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</row>
    <row r="765" spans="9:23" ht="14.25" customHeight="1">
      <c r="I765" s="24"/>
      <c r="J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</row>
    <row r="766" spans="9:23" ht="14.25" customHeight="1">
      <c r="I766" s="24"/>
      <c r="J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</row>
    <row r="767" spans="9:23" ht="14.25" customHeight="1">
      <c r="I767" s="24"/>
      <c r="J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</row>
    <row r="768" spans="9:23" ht="14.25" customHeight="1">
      <c r="I768" s="24"/>
      <c r="J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</row>
    <row r="769" spans="9:23" ht="14.25" customHeight="1">
      <c r="I769" s="24"/>
      <c r="J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</row>
    <row r="770" spans="9:23" ht="14.25" customHeight="1">
      <c r="I770" s="24"/>
      <c r="J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</row>
    <row r="771" spans="9:23" ht="14.25" customHeight="1">
      <c r="I771" s="24"/>
      <c r="J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</row>
    <row r="772" spans="9:23" ht="14.25" customHeight="1">
      <c r="I772" s="24"/>
      <c r="J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</row>
    <row r="773" spans="9:23" ht="14.25" customHeight="1">
      <c r="I773" s="24"/>
      <c r="J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</row>
    <row r="774" spans="9:23" ht="14.25" customHeight="1">
      <c r="I774" s="24"/>
      <c r="J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</row>
    <row r="775" spans="9:23" ht="14.25" customHeight="1">
      <c r="I775" s="24"/>
      <c r="J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</row>
    <row r="776" spans="9:23" ht="14.25" customHeight="1">
      <c r="I776" s="24"/>
      <c r="J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</row>
    <row r="777" spans="9:23" ht="14.25" customHeight="1">
      <c r="I777" s="24"/>
      <c r="J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</row>
    <row r="778" spans="9:23" ht="14.25" customHeight="1">
      <c r="I778" s="24"/>
      <c r="J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</row>
    <row r="779" spans="9:23" ht="14.25" customHeight="1">
      <c r="I779" s="24"/>
      <c r="J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</row>
    <row r="780" spans="9:23" ht="14.25" customHeight="1">
      <c r="I780" s="24"/>
      <c r="J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</row>
    <row r="781" spans="9:23" ht="14.25" customHeight="1">
      <c r="I781" s="24"/>
      <c r="J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</row>
    <row r="782" spans="9:23" ht="14.25" customHeight="1">
      <c r="I782" s="24"/>
      <c r="J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</row>
    <row r="783" spans="9:23" ht="14.25" customHeight="1">
      <c r="I783" s="24"/>
      <c r="J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</row>
    <row r="784" spans="9:23" ht="14.25" customHeight="1">
      <c r="I784" s="24"/>
      <c r="J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</row>
    <row r="785" spans="9:23" ht="14.25" customHeight="1">
      <c r="I785" s="24"/>
      <c r="J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</row>
    <row r="786" spans="9:23" ht="14.25" customHeight="1">
      <c r="I786" s="24"/>
      <c r="J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</row>
    <row r="787" spans="9:23" ht="14.25" customHeight="1">
      <c r="I787" s="24"/>
      <c r="J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</row>
    <row r="788" spans="9:23" ht="14.25" customHeight="1">
      <c r="I788" s="24"/>
      <c r="J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</row>
    <row r="789" spans="9:23" ht="14.25" customHeight="1">
      <c r="I789" s="24"/>
      <c r="J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</row>
    <row r="790" spans="9:23" ht="14.25" customHeight="1">
      <c r="I790" s="24"/>
      <c r="J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</row>
    <row r="791" spans="9:23" ht="14.25" customHeight="1">
      <c r="I791" s="24"/>
      <c r="J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</row>
    <row r="792" spans="9:23" ht="14.25" customHeight="1">
      <c r="I792" s="24"/>
      <c r="J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</row>
    <row r="793" spans="9:23" ht="14.25" customHeight="1">
      <c r="I793" s="24"/>
      <c r="J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</row>
    <row r="794" spans="9:23" ht="14.25" customHeight="1">
      <c r="I794" s="24"/>
      <c r="J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</row>
    <row r="795" spans="9:23" ht="14.25" customHeight="1">
      <c r="I795" s="24"/>
      <c r="J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</row>
    <row r="796" spans="9:23" ht="14.25" customHeight="1">
      <c r="I796" s="24"/>
      <c r="J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</row>
    <row r="797" spans="9:23" ht="14.25" customHeight="1">
      <c r="I797" s="24"/>
      <c r="J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</row>
    <row r="798" spans="9:23" ht="14.25" customHeight="1">
      <c r="I798" s="24"/>
      <c r="J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</row>
    <row r="799" spans="9:23" ht="14.25" customHeight="1">
      <c r="I799" s="24"/>
      <c r="J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</row>
    <row r="800" spans="9:23" ht="14.25" customHeight="1">
      <c r="I800" s="24"/>
      <c r="J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</row>
    <row r="801" spans="9:23" ht="14.25" customHeight="1">
      <c r="I801" s="24"/>
      <c r="J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</row>
    <row r="802" spans="9:23" ht="14.25" customHeight="1">
      <c r="I802" s="24"/>
      <c r="J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</row>
    <row r="803" spans="9:23" ht="14.25" customHeight="1">
      <c r="I803" s="24"/>
      <c r="J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</row>
    <row r="804" spans="9:23" ht="14.25" customHeight="1">
      <c r="I804" s="24"/>
      <c r="J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</row>
    <row r="805" spans="9:23" ht="14.25" customHeight="1">
      <c r="I805" s="24"/>
      <c r="J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</row>
    <row r="806" spans="9:23" ht="14.25" customHeight="1">
      <c r="I806" s="24"/>
      <c r="J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</row>
    <row r="807" spans="9:23" ht="14.25" customHeight="1">
      <c r="I807" s="24"/>
      <c r="J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</row>
    <row r="808" spans="9:23" ht="14.25" customHeight="1">
      <c r="I808" s="24"/>
      <c r="J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</row>
    <row r="809" spans="9:23" ht="14.25" customHeight="1">
      <c r="I809" s="24"/>
      <c r="J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</row>
    <row r="810" spans="9:23" ht="14.25" customHeight="1">
      <c r="I810" s="24"/>
      <c r="J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</row>
    <row r="811" spans="9:23" ht="14.25" customHeight="1">
      <c r="I811" s="24"/>
      <c r="J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</row>
    <row r="812" spans="9:23" ht="14.25" customHeight="1">
      <c r="I812" s="24"/>
      <c r="J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</row>
    <row r="813" spans="9:23" ht="14.25" customHeight="1">
      <c r="I813" s="24"/>
      <c r="J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</row>
    <row r="814" spans="9:23" ht="14.25" customHeight="1">
      <c r="I814" s="24"/>
      <c r="J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</row>
    <row r="815" spans="9:23" ht="14.25" customHeight="1">
      <c r="I815" s="24"/>
      <c r="J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</row>
    <row r="816" spans="9:23" ht="14.25" customHeight="1">
      <c r="I816" s="24"/>
      <c r="J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</row>
    <row r="817" spans="9:23" ht="14.25" customHeight="1">
      <c r="I817" s="24"/>
      <c r="J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</row>
    <row r="818" spans="9:23" ht="14.25" customHeight="1">
      <c r="I818" s="24"/>
      <c r="J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</row>
    <row r="819" spans="9:23" ht="14.25" customHeight="1">
      <c r="I819" s="24"/>
      <c r="J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</row>
    <row r="820" spans="9:23" ht="14.25" customHeight="1">
      <c r="I820" s="24"/>
      <c r="J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</row>
    <row r="821" spans="9:23" ht="14.25" customHeight="1">
      <c r="I821" s="24"/>
      <c r="J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</row>
    <row r="822" spans="9:23" ht="14.25" customHeight="1">
      <c r="I822" s="24"/>
      <c r="J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</row>
    <row r="823" spans="9:23" ht="14.25" customHeight="1">
      <c r="I823" s="24"/>
      <c r="J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</row>
    <row r="824" spans="9:23" ht="14.25" customHeight="1">
      <c r="I824" s="24"/>
      <c r="J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</row>
    <row r="825" spans="9:23" ht="14.25" customHeight="1">
      <c r="I825" s="24"/>
      <c r="J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</row>
    <row r="826" spans="9:23" ht="14.25" customHeight="1">
      <c r="I826" s="24"/>
      <c r="J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</row>
    <row r="827" spans="9:23" ht="14.25" customHeight="1">
      <c r="I827" s="24"/>
      <c r="J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</row>
    <row r="828" spans="9:23" ht="14.25" customHeight="1">
      <c r="I828" s="24"/>
      <c r="J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</row>
    <row r="829" spans="9:23" ht="14.25" customHeight="1">
      <c r="I829" s="24"/>
      <c r="J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</row>
    <row r="830" spans="9:23" ht="14.25" customHeight="1">
      <c r="I830" s="24"/>
      <c r="J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</row>
    <row r="831" spans="9:23" ht="14.25" customHeight="1">
      <c r="I831" s="24"/>
      <c r="J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</row>
    <row r="832" spans="9:23" ht="14.25" customHeight="1">
      <c r="I832" s="24"/>
      <c r="J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</row>
    <row r="833" spans="9:23" ht="14.25" customHeight="1">
      <c r="I833" s="24"/>
      <c r="J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</row>
    <row r="834" spans="9:23" ht="14.25" customHeight="1">
      <c r="I834" s="24"/>
      <c r="J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</row>
    <row r="835" spans="9:23" ht="14.25" customHeight="1">
      <c r="I835" s="24"/>
      <c r="J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</row>
    <row r="836" spans="9:23" ht="14.25" customHeight="1">
      <c r="I836" s="24"/>
      <c r="J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</row>
    <row r="837" spans="9:23" ht="14.25" customHeight="1">
      <c r="I837" s="24"/>
      <c r="J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</row>
    <row r="838" spans="9:23" ht="14.25" customHeight="1">
      <c r="I838" s="24"/>
      <c r="J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</row>
    <row r="839" spans="9:23" ht="14.25" customHeight="1">
      <c r="I839" s="24"/>
      <c r="J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</row>
    <row r="840" spans="9:23" ht="14.25" customHeight="1">
      <c r="I840" s="24"/>
      <c r="J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</row>
    <row r="841" spans="9:23" ht="14.25" customHeight="1">
      <c r="I841" s="24"/>
      <c r="J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</row>
    <row r="842" spans="9:23" ht="14.25" customHeight="1">
      <c r="I842" s="24"/>
      <c r="J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</row>
    <row r="843" spans="9:23" ht="14.25" customHeight="1">
      <c r="I843" s="24"/>
      <c r="J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</row>
    <row r="844" spans="9:23" ht="14.25" customHeight="1">
      <c r="I844" s="24"/>
      <c r="J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</row>
    <row r="845" spans="9:23" ht="14.25" customHeight="1">
      <c r="I845" s="24"/>
      <c r="J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</row>
    <row r="846" spans="9:23" ht="14.25" customHeight="1">
      <c r="I846" s="24"/>
      <c r="J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</row>
    <row r="847" spans="9:23" ht="14.25" customHeight="1">
      <c r="I847" s="24"/>
      <c r="J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</row>
    <row r="848" spans="9:23" ht="14.25" customHeight="1">
      <c r="I848" s="24"/>
      <c r="J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</row>
    <row r="849" spans="9:23" ht="14.25" customHeight="1">
      <c r="I849" s="24"/>
      <c r="J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</row>
    <row r="850" spans="9:23" ht="14.25" customHeight="1">
      <c r="I850" s="24"/>
      <c r="J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</row>
    <row r="851" spans="9:23" ht="14.25" customHeight="1">
      <c r="I851" s="24"/>
      <c r="J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</row>
    <row r="852" spans="9:23" ht="14.25" customHeight="1">
      <c r="I852" s="24"/>
      <c r="J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</row>
    <row r="853" spans="9:23" ht="14.25" customHeight="1">
      <c r="I853" s="24"/>
      <c r="J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</row>
    <row r="854" spans="9:23" ht="14.25" customHeight="1">
      <c r="I854" s="24"/>
      <c r="J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</row>
    <row r="855" spans="9:23" ht="14.25" customHeight="1">
      <c r="I855" s="24"/>
      <c r="J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</row>
    <row r="856" spans="9:23" ht="14.25" customHeight="1">
      <c r="I856" s="24"/>
      <c r="J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</row>
    <row r="857" spans="9:23" ht="14.25" customHeight="1">
      <c r="I857" s="24"/>
      <c r="J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</row>
    <row r="858" spans="9:23" ht="14.25" customHeight="1">
      <c r="I858" s="24"/>
      <c r="J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</row>
    <row r="859" spans="9:23" ht="14.25" customHeight="1">
      <c r="I859" s="24"/>
      <c r="J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</row>
    <row r="860" spans="9:23" ht="14.25" customHeight="1">
      <c r="I860" s="24"/>
      <c r="J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</row>
    <row r="861" spans="9:23" ht="14.25" customHeight="1">
      <c r="I861" s="24"/>
      <c r="J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</row>
    <row r="862" spans="9:23" ht="14.25" customHeight="1">
      <c r="I862" s="24"/>
      <c r="J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</row>
    <row r="863" spans="9:23" ht="14.25" customHeight="1">
      <c r="I863" s="24"/>
      <c r="J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</row>
    <row r="864" spans="9:23" ht="14.25" customHeight="1">
      <c r="I864" s="24"/>
      <c r="J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</row>
    <row r="865" spans="9:23" ht="14.25" customHeight="1">
      <c r="I865" s="24"/>
      <c r="J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</row>
    <row r="866" spans="9:23" ht="14.25" customHeight="1">
      <c r="I866" s="24"/>
      <c r="J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</row>
    <row r="867" spans="9:23" ht="14.25" customHeight="1">
      <c r="I867" s="24"/>
      <c r="J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</row>
    <row r="868" spans="9:23" ht="14.25" customHeight="1">
      <c r="I868" s="24"/>
      <c r="J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</row>
    <row r="869" spans="9:23" ht="14.25" customHeight="1">
      <c r="I869" s="24"/>
      <c r="J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</row>
    <row r="870" spans="9:23" ht="14.25" customHeight="1">
      <c r="I870" s="24"/>
      <c r="J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</row>
    <row r="871" spans="9:23" ht="14.25" customHeight="1">
      <c r="I871" s="24"/>
      <c r="J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</row>
    <row r="872" spans="9:23" ht="14.25" customHeight="1">
      <c r="I872" s="24"/>
      <c r="J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</row>
    <row r="873" spans="9:23" ht="14.25" customHeight="1">
      <c r="I873" s="24"/>
      <c r="J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</row>
    <row r="874" spans="9:23" ht="14.25" customHeight="1">
      <c r="I874" s="24"/>
      <c r="J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</row>
    <row r="875" spans="9:23" ht="14.25" customHeight="1">
      <c r="I875" s="24"/>
      <c r="J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</row>
    <row r="876" spans="9:23" ht="14.25" customHeight="1">
      <c r="I876" s="24"/>
      <c r="J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</row>
    <row r="877" spans="9:23" ht="14.25" customHeight="1">
      <c r="I877" s="24"/>
      <c r="J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</row>
    <row r="878" spans="9:23" ht="14.25" customHeight="1">
      <c r="I878" s="24"/>
      <c r="J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</row>
    <row r="879" spans="9:23" ht="14.25" customHeight="1">
      <c r="I879" s="24"/>
      <c r="J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</row>
    <row r="880" spans="9:23" ht="14.25" customHeight="1">
      <c r="I880" s="24"/>
      <c r="J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</row>
    <row r="881" spans="9:23" ht="14.25" customHeight="1">
      <c r="I881" s="24"/>
      <c r="J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</row>
    <row r="882" spans="9:23" ht="14.25" customHeight="1">
      <c r="I882" s="24"/>
      <c r="J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</row>
    <row r="883" spans="9:23" ht="14.25" customHeight="1">
      <c r="I883" s="24"/>
      <c r="J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</row>
    <row r="884" spans="9:23" ht="14.25" customHeight="1">
      <c r="I884" s="24"/>
      <c r="J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</row>
    <row r="885" spans="9:23" ht="14.25" customHeight="1">
      <c r="I885" s="24"/>
      <c r="J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</row>
    <row r="886" spans="9:23" ht="14.25" customHeight="1">
      <c r="I886" s="24"/>
      <c r="J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</row>
    <row r="887" spans="9:23" ht="14.25" customHeight="1">
      <c r="I887" s="24"/>
      <c r="J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</row>
    <row r="888" spans="9:23" ht="14.25" customHeight="1">
      <c r="I888" s="24"/>
      <c r="J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</row>
    <row r="889" spans="9:23" ht="14.25" customHeight="1">
      <c r="I889" s="24"/>
      <c r="J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</row>
    <row r="890" spans="9:23" ht="14.25" customHeight="1">
      <c r="I890" s="24"/>
      <c r="J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</row>
    <row r="891" spans="9:23" ht="14.25" customHeight="1">
      <c r="I891" s="24"/>
      <c r="J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</row>
    <row r="892" spans="9:23" ht="14.25" customHeight="1">
      <c r="I892" s="24"/>
      <c r="J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</row>
    <row r="893" spans="9:23" ht="14.25" customHeight="1">
      <c r="I893" s="24"/>
      <c r="J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</row>
    <row r="894" spans="9:23" ht="14.25" customHeight="1">
      <c r="I894" s="24"/>
      <c r="J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</row>
    <row r="895" spans="9:23" ht="14.25" customHeight="1">
      <c r="I895" s="24"/>
      <c r="J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</row>
    <row r="896" spans="9:23" ht="14.25" customHeight="1">
      <c r="I896" s="24"/>
      <c r="J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</row>
    <row r="897" spans="9:23" ht="14.25" customHeight="1">
      <c r="I897" s="24"/>
      <c r="J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</row>
    <row r="898" spans="9:23" ht="14.25" customHeight="1">
      <c r="I898" s="24"/>
      <c r="J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</row>
    <row r="899" spans="9:23" ht="14.25" customHeight="1">
      <c r="I899" s="24"/>
      <c r="J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</row>
    <row r="900" spans="9:23" ht="14.25" customHeight="1">
      <c r="I900" s="24"/>
      <c r="J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</row>
    <row r="901" spans="9:23" ht="14.25" customHeight="1">
      <c r="I901" s="24"/>
      <c r="J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</row>
    <row r="902" spans="9:23" ht="14.25" customHeight="1">
      <c r="I902" s="24"/>
      <c r="J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</row>
    <row r="903" spans="9:23" ht="14.25" customHeight="1">
      <c r="I903" s="24"/>
      <c r="J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</row>
    <row r="904" spans="9:23" ht="14.25" customHeight="1">
      <c r="I904" s="24"/>
      <c r="J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</row>
    <row r="905" spans="9:23" ht="14.25" customHeight="1">
      <c r="I905" s="24"/>
      <c r="J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</row>
    <row r="906" spans="9:23" ht="14.25" customHeight="1">
      <c r="I906" s="24"/>
      <c r="J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</row>
    <row r="907" spans="9:23" ht="14.25" customHeight="1">
      <c r="I907" s="24"/>
      <c r="J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</row>
    <row r="908" spans="9:23" ht="14.25" customHeight="1">
      <c r="I908" s="24"/>
      <c r="J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</row>
    <row r="909" spans="9:23" ht="14.25" customHeight="1">
      <c r="I909" s="24"/>
      <c r="J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</row>
    <row r="910" spans="9:23" ht="14.25" customHeight="1">
      <c r="I910" s="24"/>
      <c r="J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</row>
    <row r="911" spans="9:23" ht="14.25" customHeight="1">
      <c r="I911" s="24"/>
      <c r="J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</row>
    <row r="912" spans="9:23" ht="14.25" customHeight="1">
      <c r="I912" s="24"/>
      <c r="J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</row>
    <row r="913" spans="9:23" ht="14.25" customHeight="1">
      <c r="I913" s="24"/>
      <c r="J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</row>
    <row r="914" spans="9:23" ht="14.25" customHeight="1">
      <c r="I914" s="24"/>
      <c r="J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</row>
    <row r="915" spans="9:23" ht="14.25" customHeight="1">
      <c r="I915" s="24"/>
      <c r="J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</row>
    <row r="916" spans="9:23" ht="14.25" customHeight="1">
      <c r="I916" s="24"/>
      <c r="J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</row>
    <row r="917" spans="9:23" ht="14.25" customHeight="1">
      <c r="I917" s="24"/>
      <c r="J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</row>
    <row r="918" spans="9:23" ht="14.25" customHeight="1">
      <c r="I918" s="24"/>
      <c r="J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</row>
    <row r="919" spans="9:23" ht="14.25" customHeight="1">
      <c r="I919" s="24"/>
      <c r="J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</row>
    <row r="920" spans="9:23" ht="14.25" customHeight="1">
      <c r="I920" s="24"/>
      <c r="J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</row>
    <row r="921" spans="9:23" ht="14.25" customHeight="1">
      <c r="I921" s="24"/>
      <c r="J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</row>
    <row r="922" spans="9:23" ht="14.25" customHeight="1">
      <c r="I922" s="24"/>
      <c r="J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</row>
    <row r="923" spans="9:23" ht="14.25" customHeight="1">
      <c r="I923" s="24"/>
      <c r="J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</row>
    <row r="924" spans="9:23" ht="14.25" customHeight="1">
      <c r="I924" s="24"/>
      <c r="J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</row>
    <row r="925" spans="9:23" ht="14.25" customHeight="1">
      <c r="I925" s="24"/>
      <c r="J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</row>
    <row r="926" spans="9:23" ht="14.25" customHeight="1">
      <c r="I926" s="24"/>
      <c r="J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</row>
    <row r="927" spans="9:23" ht="14.25" customHeight="1">
      <c r="I927" s="24"/>
      <c r="J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</row>
    <row r="928" spans="9:23" ht="14.25" customHeight="1">
      <c r="I928" s="24"/>
      <c r="J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</row>
    <row r="929" spans="9:23" ht="14.25" customHeight="1">
      <c r="I929" s="24"/>
      <c r="J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</row>
    <row r="930" spans="9:23" ht="14.25" customHeight="1">
      <c r="I930" s="24"/>
      <c r="J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</row>
    <row r="931" spans="9:23" ht="14.25" customHeight="1">
      <c r="I931" s="24"/>
      <c r="J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</row>
    <row r="932" spans="9:23" ht="14.25" customHeight="1">
      <c r="I932" s="24"/>
      <c r="J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</row>
    <row r="933" spans="9:23" ht="14.25" customHeight="1">
      <c r="I933" s="24"/>
      <c r="J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</row>
    <row r="934" spans="9:23" ht="14.25" customHeight="1">
      <c r="I934" s="24"/>
      <c r="J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</row>
    <row r="935" spans="9:23" ht="14.25" customHeight="1">
      <c r="I935" s="24"/>
      <c r="J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</row>
    <row r="936" spans="9:23" ht="14.25" customHeight="1">
      <c r="I936" s="24"/>
      <c r="J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</row>
    <row r="937" spans="9:23" ht="14.25" customHeight="1">
      <c r="I937" s="24"/>
      <c r="J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</row>
    <row r="938" spans="9:23" ht="14.25" customHeight="1">
      <c r="I938" s="24"/>
      <c r="J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</row>
    <row r="939" spans="9:23" ht="14.25" customHeight="1">
      <c r="I939" s="24"/>
      <c r="J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</row>
    <row r="940" spans="9:23" ht="14.25" customHeight="1">
      <c r="I940" s="24"/>
      <c r="J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</row>
    <row r="941" spans="9:23" ht="14.25" customHeight="1">
      <c r="I941" s="24"/>
      <c r="J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</row>
    <row r="942" spans="9:23" ht="14.25" customHeight="1">
      <c r="I942" s="24"/>
      <c r="J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</row>
    <row r="943" spans="9:23" ht="14.25" customHeight="1">
      <c r="I943" s="24"/>
      <c r="J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</row>
    <row r="944" spans="9:23" ht="14.25" customHeight="1">
      <c r="I944" s="24"/>
      <c r="J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</row>
    <row r="945" spans="9:23" ht="14.25" customHeight="1">
      <c r="I945" s="24"/>
      <c r="J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</row>
    <row r="946" spans="9:23" ht="14.25" customHeight="1">
      <c r="I946" s="24"/>
      <c r="J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</row>
    <row r="947" spans="9:23" ht="14.25" customHeight="1">
      <c r="I947" s="24"/>
      <c r="J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</row>
    <row r="948" spans="9:23" ht="14.25" customHeight="1">
      <c r="I948" s="24"/>
      <c r="J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</row>
    <row r="949" spans="9:23" ht="14.25" customHeight="1">
      <c r="I949" s="24"/>
      <c r="J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</row>
    <row r="950" spans="9:23" ht="14.25" customHeight="1">
      <c r="I950" s="24"/>
      <c r="J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</row>
    <row r="951" spans="9:23" ht="14.25" customHeight="1">
      <c r="I951" s="24"/>
      <c r="J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</row>
    <row r="952" spans="9:23" ht="14.25" customHeight="1">
      <c r="I952" s="24"/>
      <c r="J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</row>
    <row r="953" spans="9:23" ht="14.25" customHeight="1">
      <c r="I953" s="24"/>
      <c r="J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</row>
    <row r="954" spans="9:23" ht="14.25" customHeight="1">
      <c r="I954" s="24"/>
      <c r="J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</row>
    <row r="955" spans="9:23" ht="14.25" customHeight="1">
      <c r="I955" s="24"/>
      <c r="J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</row>
    <row r="956" spans="9:23" ht="14.25" customHeight="1">
      <c r="I956" s="24"/>
      <c r="J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</row>
    <row r="957" spans="9:23" ht="14.25" customHeight="1">
      <c r="I957" s="24"/>
      <c r="J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</row>
    <row r="958" spans="9:23" ht="14.25" customHeight="1">
      <c r="I958" s="24"/>
      <c r="J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</row>
    <row r="959" spans="9:23" ht="14.25" customHeight="1">
      <c r="I959" s="24"/>
      <c r="J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</row>
    <row r="960" spans="9:23" ht="14.25" customHeight="1">
      <c r="I960" s="24"/>
      <c r="J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</row>
    <row r="961" spans="9:23" ht="14.25" customHeight="1">
      <c r="I961" s="24"/>
      <c r="J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</row>
    <row r="962" spans="9:23" ht="14.25" customHeight="1">
      <c r="I962" s="24"/>
      <c r="J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</row>
    <row r="963" spans="9:23" ht="14.25" customHeight="1">
      <c r="I963" s="24"/>
      <c r="J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</row>
    <row r="964" spans="9:23" ht="14.25" customHeight="1">
      <c r="I964" s="24"/>
      <c r="J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</row>
    <row r="965" spans="9:23" ht="14.25" customHeight="1">
      <c r="I965" s="24"/>
      <c r="J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</row>
    <row r="966" spans="9:23" ht="14.25" customHeight="1">
      <c r="I966" s="24"/>
      <c r="J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</row>
    <row r="967" spans="9:23" ht="14.25" customHeight="1">
      <c r="I967" s="24"/>
      <c r="J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</row>
    <row r="968" spans="9:23" ht="14.25" customHeight="1">
      <c r="I968" s="24"/>
      <c r="J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</row>
    <row r="969" spans="9:23" ht="14.25" customHeight="1">
      <c r="I969" s="24"/>
      <c r="J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</row>
    <row r="970" spans="9:23" ht="14.25" customHeight="1">
      <c r="I970" s="24"/>
      <c r="J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</row>
    <row r="971" spans="9:23" ht="14.25" customHeight="1">
      <c r="I971" s="24"/>
      <c r="J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</row>
    <row r="972" spans="9:23" ht="14.25" customHeight="1">
      <c r="I972" s="24"/>
      <c r="J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</row>
    <row r="973" spans="9:23" ht="14.25" customHeight="1">
      <c r="I973" s="24"/>
      <c r="J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</row>
    <row r="974" spans="9:23" ht="14.25" customHeight="1">
      <c r="I974" s="24"/>
      <c r="J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</row>
    <row r="975" spans="9:23" ht="14.25" customHeight="1">
      <c r="I975" s="24"/>
      <c r="J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</row>
    <row r="976" spans="9:23" ht="14.25" customHeight="1">
      <c r="I976" s="24"/>
      <c r="J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</row>
    <row r="977" spans="9:23" ht="14.25" customHeight="1">
      <c r="I977" s="24"/>
      <c r="J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</row>
    <row r="978" spans="9:23" ht="14.25" customHeight="1">
      <c r="I978" s="24"/>
      <c r="J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</row>
    <row r="979" spans="9:23" ht="14.25" customHeight="1">
      <c r="I979" s="24"/>
      <c r="J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</row>
    <row r="980" spans="9:23" ht="14.25" customHeight="1">
      <c r="I980" s="24"/>
      <c r="J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</row>
    <row r="981" spans="9:23" ht="14.25" customHeight="1">
      <c r="I981" s="24"/>
      <c r="J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</row>
    <row r="982" spans="9:23" ht="14.25" customHeight="1">
      <c r="I982" s="24"/>
      <c r="J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</row>
    <row r="983" spans="9:23" ht="14.25" customHeight="1">
      <c r="I983" s="24"/>
      <c r="J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</row>
    <row r="984" spans="9:23" ht="14.25" customHeight="1">
      <c r="I984" s="24"/>
      <c r="J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</row>
    <row r="985" spans="9:23" ht="14.25" customHeight="1">
      <c r="I985" s="24"/>
      <c r="J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</row>
    <row r="986" spans="9:23" ht="14.25" customHeight="1">
      <c r="I986" s="24"/>
      <c r="J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</row>
    <row r="987" spans="9:23" ht="14.25" customHeight="1">
      <c r="I987" s="24"/>
      <c r="J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</row>
    <row r="988" spans="9:23" ht="14.25" customHeight="1">
      <c r="I988" s="24"/>
      <c r="J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</row>
    <row r="989" spans="9:23" ht="14.25" customHeight="1">
      <c r="I989" s="24"/>
      <c r="J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</row>
    <row r="990" spans="9:23" ht="14.25" customHeight="1">
      <c r="I990" s="24"/>
      <c r="J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</row>
    <row r="991" spans="9:23" ht="14.25" customHeight="1">
      <c r="I991" s="24"/>
      <c r="J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</row>
    <row r="992" spans="9:23" ht="14.25" customHeight="1">
      <c r="I992" s="24"/>
      <c r="J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</row>
    <row r="993" spans="9:23" ht="14.25" customHeight="1">
      <c r="I993" s="24"/>
      <c r="J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</row>
    <row r="994" spans="9:23" ht="14.25" customHeight="1">
      <c r="I994" s="24"/>
      <c r="J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</row>
    <row r="995" spans="9:23" ht="14.25" customHeight="1">
      <c r="I995" s="24"/>
      <c r="J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</row>
    <row r="996" spans="9:23" ht="14.25" customHeight="1">
      <c r="I996" s="24"/>
      <c r="J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</row>
    <row r="997" spans="9:23" ht="14.25" customHeight="1">
      <c r="I997" s="24"/>
      <c r="J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</row>
    <row r="998" spans="9:23" ht="14.25" customHeight="1">
      <c r="I998" s="24"/>
      <c r="J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</row>
    <row r="999" spans="9:23" ht="14.25" customHeight="1">
      <c r="I999" s="24"/>
      <c r="J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</row>
    <row r="1000" spans="9:23" ht="14.25" customHeight="1">
      <c r="I1000" s="24"/>
      <c r="J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</row>
  </sheetData>
  <autoFilter ref="H1:H677" xr:uid="{00000000-0009-0000-0000-000002000000}">
    <filterColumn colId="0">
      <filters blank="1">
        <filter val="0.00 m³"/>
        <filter val="1,018.00"/>
        <filter val="1,107.97"/>
        <filter val="1,201.86"/>
        <filter val="1,246.84"/>
        <filter val="1,551.63"/>
        <filter val="1,568.10"/>
        <filter val="1,662.46"/>
        <filter val="1,758.49"/>
        <filter val="1,773.54"/>
        <filter val="1,856.18"/>
        <filter val="1,889.75"/>
        <filter val="1,960.13"/>
        <filter val="1,979.22"/>
        <filter val="10,901.92"/>
        <filter val="100.93"/>
        <filter val="11,823.61"/>
        <filter val="11,875.32"/>
        <filter val="12,630.82"/>
        <filter val="132,010.84"/>
        <filter val="14,844.15"/>
        <filter val="146.71"/>
        <filter val="15,301.32"/>
        <filter val="15,510.37"/>
        <filter val="15,925.28"/>
        <filter val="166.25"/>
        <filter val="176.28"/>
        <filter val="18,505.71"/>
        <filter val="18,612.62"/>
        <filter val="180.66"/>
        <filter val="193.95"/>
        <filter val="2,267.70"/>
        <filter val="2,279.25"/>
        <filter val="2,285.88"/>
        <filter val="2,299.15"/>
        <filter val="2,375.06"/>
        <filter val="2,405.87"/>
        <filter val="2,930.81"/>
        <filter val="201.86"/>
        <filter val="21,807.00"/>
        <filter val="231.55"/>
        <filter val="25,867.50"/>
        <filter val="27,313.24"/>
        <filter val="270.99"/>
        <filter val="279.12"/>
        <filter val="293.43"/>
        <filter val="297.96"/>
        <filter val="3,311.06"/>
        <filter val="3,463.64"/>
        <filter val="3,663.52"/>
        <filter val="3,798.74"/>
        <filter val="3,920.26"/>
        <filter val="322.79"/>
        <filter val="336.87"/>
        <filter val="36,394.95"/>
        <filter val="361.32"/>
        <filter val="372.16"/>
        <filter val="38,327.74"/>
        <filter val="39,485.44"/>
        <filter val="392.03"/>
        <filter val="4,567.19"/>
        <filter val="4,748.43"/>
        <filter val="4,900.33"/>
        <filter val="403.72"/>
        <filter val="408.27"/>
        <filter val="463.10"/>
        <filter val="465.20"/>
        <filter val="488.47"/>
        <filter val="5,077.29"/>
        <filter val="5,517.96"/>
        <filter val="5,880.39"/>
        <filter val="5,919.71"/>
        <filter val="509.00"/>
        <filter val="55,906.37"/>
        <filter val="558.24"/>
        <filter val="586.16"/>
        <filter val="595.92"/>
        <filter val="6,153.10"/>
        <filter val="6,502.99"/>
        <filter val="6,740.87"/>
        <filter val="610.80"/>
        <filter val="633.12"/>
        <filter val="651.28"/>
        <filter val="68.84 m³"/>
        <filter val="7,125.19"/>
        <filter val="7,129.64"/>
        <filter val="7,521.04"/>
        <filter val="7,840.52"/>
        <filter val="75,970.13"/>
        <filter val="755.90"/>
        <filter val="759.75"/>
        <filter val="8,737.11"/>
        <filter val="854.82"/>
        <filter val="869.05"/>
        <filter val="9,527.30"/>
        <filter val="9,744.96"/>
        <filter val="9,896.10"/>
        <filter val="90.33"/>
        <filter val="944.88"/>
        <filter val="997.47"/>
        <filter val="Total"/>
      </filters>
    </filterColumn>
  </autoFilter>
  <mergeCells count="50">
    <mergeCell ref="C1:F1"/>
    <mergeCell ref="K1:L3"/>
    <mergeCell ref="B17:C17"/>
    <mergeCell ref="D17:F17"/>
    <mergeCell ref="K17:L17"/>
    <mergeCell ref="D59:F59"/>
    <mergeCell ref="B61:C61"/>
    <mergeCell ref="D61:F61"/>
    <mergeCell ref="D103:F103"/>
    <mergeCell ref="B105:C105"/>
    <mergeCell ref="D105:F105"/>
    <mergeCell ref="D147:F147"/>
    <mergeCell ref="B149:C149"/>
    <mergeCell ref="D149:F149"/>
    <mergeCell ref="D191:F191"/>
    <mergeCell ref="B193:C193"/>
    <mergeCell ref="D193:F193"/>
    <mergeCell ref="D235:F235"/>
    <mergeCell ref="B237:C237"/>
    <mergeCell ref="D237:F237"/>
    <mergeCell ref="D279:F279"/>
    <mergeCell ref="B281:C281"/>
    <mergeCell ref="D281:F281"/>
    <mergeCell ref="D323:F323"/>
    <mergeCell ref="B325:C325"/>
    <mergeCell ref="D325:F325"/>
    <mergeCell ref="D367:F367"/>
    <mergeCell ref="B369:C369"/>
    <mergeCell ref="D369:F369"/>
    <mergeCell ref="D411:F411"/>
    <mergeCell ref="B413:C413"/>
    <mergeCell ref="D413:F413"/>
    <mergeCell ref="D455:F455"/>
    <mergeCell ref="B457:C457"/>
    <mergeCell ref="D457:F457"/>
    <mergeCell ref="D675:F675"/>
    <mergeCell ref="B677:C677"/>
    <mergeCell ref="D677:F677"/>
    <mergeCell ref="D499:F499"/>
    <mergeCell ref="B501:C501"/>
    <mergeCell ref="D501:F501"/>
    <mergeCell ref="D543:F543"/>
    <mergeCell ref="B545:C545"/>
    <mergeCell ref="D545:F545"/>
    <mergeCell ref="D587:F587"/>
    <mergeCell ref="B589:C589"/>
    <mergeCell ref="D589:F589"/>
    <mergeCell ref="D631:F631"/>
    <mergeCell ref="B633:C633"/>
    <mergeCell ref="D633:F633"/>
  </mergeCells>
  <conditionalFormatting sqref="H59">
    <cfRule type="cellIs" dxfId="2467" priority="1" operator="equal">
      <formula>0</formula>
    </cfRule>
  </conditionalFormatting>
  <conditionalFormatting sqref="H103">
    <cfRule type="cellIs" dxfId="2466" priority="2" operator="equal">
      <formula>0</formula>
    </cfRule>
  </conditionalFormatting>
  <conditionalFormatting sqref="H103">
    <cfRule type="cellIs" dxfId="2465" priority="3" operator="equal">
      <formula>0</formula>
    </cfRule>
  </conditionalFormatting>
  <conditionalFormatting sqref="H147">
    <cfRule type="cellIs" dxfId="2464" priority="4" operator="equal">
      <formula>0</formula>
    </cfRule>
  </conditionalFormatting>
  <conditionalFormatting sqref="H147">
    <cfRule type="cellIs" dxfId="2463" priority="5" operator="equal">
      <formula>0</formula>
    </cfRule>
  </conditionalFormatting>
  <conditionalFormatting sqref="H147">
    <cfRule type="cellIs" dxfId="2462" priority="6" operator="equal">
      <formula>0</formula>
    </cfRule>
  </conditionalFormatting>
  <conditionalFormatting sqref="H191">
    <cfRule type="cellIs" dxfId="2461" priority="7" operator="equal">
      <formula>0</formula>
    </cfRule>
  </conditionalFormatting>
  <conditionalFormatting sqref="H235">
    <cfRule type="cellIs" dxfId="2460" priority="8" operator="equal">
      <formula>0</formula>
    </cfRule>
  </conditionalFormatting>
  <conditionalFormatting sqref="H279">
    <cfRule type="cellIs" dxfId="2459" priority="9" operator="equal">
      <formula>0</formula>
    </cfRule>
  </conditionalFormatting>
  <conditionalFormatting sqref="H323">
    <cfRule type="cellIs" dxfId="2458" priority="10" operator="equal">
      <formula>0</formula>
    </cfRule>
  </conditionalFormatting>
  <conditionalFormatting sqref="H323">
    <cfRule type="cellIs" dxfId="2457" priority="11" operator="equal">
      <formula>0</formula>
    </cfRule>
  </conditionalFormatting>
  <conditionalFormatting sqref="H367">
    <cfRule type="cellIs" dxfId="2456" priority="12" operator="equal">
      <formula>0</formula>
    </cfRule>
  </conditionalFormatting>
  <conditionalFormatting sqref="H411">
    <cfRule type="cellIs" dxfId="2455" priority="13" operator="equal">
      <formula>0</formula>
    </cfRule>
  </conditionalFormatting>
  <conditionalFormatting sqref="H455">
    <cfRule type="cellIs" dxfId="2454" priority="14" operator="equal">
      <formula>0</formula>
    </cfRule>
  </conditionalFormatting>
  <conditionalFormatting sqref="H499">
    <cfRule type="cellIs" dxfId="2453" priority="15" operator="equal">
      <formula>0</formula>
    </cfRule>
  </conditionalFormatting>
  <conditionalFormatting sqref="H543">
    <cfRule type="cellIs" dxfId="2452" priority="16" operator="equal">
      <formula>0</formula>
    </cfRule>
  </conditionalFormatting>
  <conditionalFormatting sqref="H103">
    <cfRule type="cellIs" dxfId="2451" priority="17" operator="equal">
      <formula>0</formula>
    </cfRule>
  </conditionalFormatting>
  <conditionalFormatting sqref="H147">
    <cfRule type="cellIs" dxfId="2450" priority="18" operator="equal">
      <formula>0</formula>
    </cfRule>
  </conditionalFormatting>
  <conditionalFormatting sqref="H191">
    <cfRule type="cellIs" dxfId="2449" priority="19" operator="equal">
      <formula>0</formula>
    </cfRule>
  </conditionalFormatting>
  <conditionalFormatting sqref="H235">
    <cfRule type="cellIs" dxfId="2448" priority="20" operator="equal">
      <formula>0</formula>
    </cfRule>
  </conditionalFormatting>
  <conditionalFormatting sqref="H279">
    <cfRule type="cellIs" dxfId="2447" priority="21" operator="equal">
      <formula>0</formula>
    </cfRule>
  </conditionalFormatting>
  <conditionalFormatting sqref="H323">
    <cfRule type="cellIs" dxfId="2446" priority="22" operator="equal">
      <formula>0</formula>
    </cfRule>
  </conditionalFormatting>
  <conditionalFormatting sqref="H367">
    <cfRule type="cellIs" dxfId="2445" priority="23" operator="equal">
      <formula>0</formula>
    </cfRule>
  </conditionalFormatting>
  <conditionalFormatting sqref="H411">
    <cfRule type="cellIs" dxfId="2444" priority="24" operator="equal">
      <formula>0</formula>
    </cfRule>
  </conditionalFormatting>
  <conditionalFormatting sqref="H455">
    <cfRule type="cellIs" dxfId="2443" priority="25" operator="equal">
      <formula>0</formula>
    </cfRule>
  </conditionalFormatting>
  <conditionalFormatting sqref="H499">
    <cfRule type="cellIs" dxfId="2442" priority="26" operator="equal">
      <formula>0</formula>
    </cfRule>
  </conditionalFormatting>
  <conditionalFormatting sqref="H543">
    <cfRule type="cellIs" dxfId="2441" priority="27" operator="equal">
      <formula>0</formula>
    </cfRule>
  </conditionalFormatting>
  <conditionalFormatting sqref="H587">
    <cfRule type="cellIs" dxfId="2440" priority="28" operator="equal">
      <formula>0</formula>
    </cfRule>
  </conditionalFormatting>
  <conditionalFormatting sqref="H587">
    <cfRule type="cellIs" dxfId="2439" priority="29" operator="equal">
      <formula>0</formula>
    </cfRule>
  </conditionalFormatting>
  <conditionalFormatting sqref="H631">
    <cfRule type="cellIs" dxfId="2438" priority="30" operator="equal">
      <formula>0</formula>
    </cfRule>
  </conditionalFormatting>
  <conditionalFormatting sqref="H631">
    <cfRule type="cellIs" dxfId="2437" priority="31" operator="equal">
      <formula>0</formula>
    </cfRule>
  </conditionalFormatting>
  <conditionalFormatting sqref="H675">
    <cfRule type="cellIs" dxfId="2436" priority="32" operator="equal">
      <formula>0</formula>
    </cfRule>
  </conditionalFormatting>
  <conditionalFormatting sqref="H675">
    <cfRule type="cellIs" dxfId="2435" priority="33" operator="equal">
      <formula>0</formula>
    </cfRule>
  </conditionalFormatting>
  <conditionalFormatting sqref="H675">
    <cfRule type="cellIs" dxfId="2434" priority="34" operator="equal">
      <formula>0</formula>
    </cfRule>
  </conditionalFormatting>
  <conditionalFormatting sqref="H675">
    <cfRule type="cellIs" dxfId="2433" priority="35" operator="equal">
      <formula>0</formula>
    </cfRule>
  </conditionalFormatting>
  <conditionalFormatting sqref="H587">
    <cfRule type="cellIs" dxfId="2432" priority="36" operator="equal">
      <formula>0</formula>
    </cfRule>
  </conditionalFormatting>
  <conditionalFormatting sqref="H587">
    <cfRule type="cellIs" dxfId="2431" priority="37" operator="equal">
      <formula>0</formula>
    </cfRule>
  </conditionalFormatting>
  <conditionalFormatting sqref="H543">
    <cfRule type="cellIs" dxfId="2430" priority="38" operator="equal">
      <formula>0</formula>
    </cfRule>
  </conditionalFormatting>
  <conditionalFormatting sqref="H543">
    <cfRule type="cellIs" dxfId="2429" priority="39" operator="equal">
      <formula>0</formula>
    </cfRule>
  </conditionalFormatting>
  <conditionalFormatting sqref="H499">
    <cfRule type="cellIs" dxfId="2428" priority="40" operator="equal">
      <formula>0</formula>
    </cfRule>
  </conditionalFormatting>
  <conditionalFormatting sqref="H499">
    <cfRule type="cellIs" dxfId="2427" priority="41" operator="equal">
      <formula>0</formula>
    </cfRule>
  </conditionalFormatting>
  <conditionalFormatting sqref="H455">
    <cfRule type="cellIs" dxfId="2426" priority="42" operator="equal">
      <formula>0</formula>
    </cfRule>
  </conditionalFormatting>
  <conditionalFormatting sqref="H455">
    <cfRule type="cellIs" dxfId="2425" priority="43" operator="equal">
      <formula>0</formula>
    </cfRule>
  </conditionalFormatting>
  <conditionalFormatting sqref="H411">
    <cfRule type="cellIs" dxfId="2424" priority="44" operator="equal">
      <formula>0</formula>
    </cfRule>
  </conditionalFormatting>
  <conditionalFormatting sqref="H411">
    <cfRule type="cellIs" dxfId="2423" priority="45" operator="equal">
      <formula>0</formula>
    </cfRule>
  </conditionalFormatting>
  <conditionalFormatting sqref="H367">
    <cfRule type="cellIs" dxfId="2422" priority="46" operator="equal">
      <formula>0</formula>
    </cfRule>
  </conditionalFormatting>
  <conditionalFormatting sqref="H367">
    <cfRule type="cellIs" dxfId="2421" priority="47" operator="equal">
      <formula>0</formula>
    </cfRule>
  </conditionalFormatting>
  <conditionalFormatting sqref="H323">
    <cfRule type="cellIs" dxfId="2420" priority="48" operator="equal">
      <formula>0</formula>
    </cfRule>
  </conditionalFormatting>
  <conditionalFormatting sqref="H323">
    <cfRule type="cellIs" dxfId="2419" priority="49" operator="equal">
      <formula>0</formula>
    </cfRule>
  </conditionalFormatting>
  <conditionalFormatting sqref="H279">
    <cfRule type="cellIs" dxfId="2418" priority="50" operator="equal">
      <formula>0</formula>
    </cfRule>
  </conditionalFormatting>
  <conditionalFormatting sqref="H279">
    <cfRule type="cellIs" dxfId="2417" priority="51" operator="equal">
      <formula>0</formula>
    </cfRule>
  </conditionalFormatting>
  <conditionalFormatting sqref="H235">
    <cfRule type="cellIs" dxfId="2416" priority="52" operator="equal">
      <formula>0</formula>
    </cfRule>
  </conditionalFormatting>
  <conditionalFormatting sqref="H235">
    <cfRule type="cellIs" dxfId="2415" priority="53" operator="equal">
      <formula>0</formula>
    </cfRule>
  </conditionalFormatting>
  <conditionalFormatting sqref="H191">
    <cfRule type="cellIs" dxfId="2414" priority="54" operator="equal">
      <formula>0</formula>
    </cfRule>
  </conditionalFormatting>
  <conditionalFormatting sqref="H191">
    <cfRule type="cellIs" dxfId="2413" priority="55" operator="equal">
      <formula>0</formula>
    </cfRule>
  </conditionalFormatting>
  <conditionalFormatting sqref="H147">
    <cfRule type="cellIs" dxfId="2412" priority="56" operator="equal">
      <formula>0</formula>
    </cfRule>
  </conditionalFormatting>
  <conditionalFormatting sqref="H147">
    <cfRule type="cellIs" dxfId="2411" priority="57" operator="equal">
      <formula>0</formula>
    </cfRule>
  </conditionalFormatting>
  <conditionalFormatting sqref="H103">
    <cfRule type="cellIs" dxfId="2410" priority="58" operator="equal">
      <formula>0</formula>
    </cfRule>
  </conditionalFormatting>
  <conditionalFormatting sqref="H103">
    <cfRule type="cellIs" dxfId="2409" priority="59" operator="equal">
      <formula>0</formula>
    </cfRule>
  </conditionalFormatting>
  <conditionalFormatting sqref="H59">
    <cfRule type="cellIs" dxfId="2408" priority="60" operator="equal">
      <formula>0</formula>
    </cfRule>
  </conditionalFormatting>
  <conditionalFormatting sqref="H59">
    <cfRule type="cellIs" dxfId="2407" priority="61" operator="equal">
      <formula>0</formula>
    </cfRule>
  </conditionalFormatting>
  <conditionalFormatting sqref="H103">
    <cfRule type="cellIs" dxfId="2406" priority="62" operator="equal">
      <formula>0</formula>
    </cfRule>
  </conditionalFormatting>
  <conditionalFormatting sqref="H103">
    <cfRule type="cellIs" dxfId="2405" priority="63" operator="equal">
      <formula>0</formula>
    </cfRule>
  </conditionalFormatting>
  <conditionalFormatting sqref="H103">
    <cfRule type="cellIs" dxfId="2404" priority="64" operator="equal">
      <formula>0</formula>
    </cfRule>
  </conditionalFormatting>
  <conditionalFormatting sqref="H147">
    <cfRule type="cellIs" dxfId="2403" priority="65" operator="equal">
      <formula>0</formula>
    </cfRule>
  </conditionalFormatting>
  <conditionalFormatting sqref="H147">
    <cfRule type="cellIs" dxfId="2402" priority="66" operator="equal">
      <formula>0</formula>
    </cfRule>
  </conditionalFormatting>
  <conditionalFormatting sqref="H147">
    <cfRule type="cellIs" dxfId="2401" priority="67" operator="equal">
      <formula>0</formula>
    </cfRule>
  </conditionalFormatting>
  <conditionalFormatting sqref="H191">
    <cfRule type="cellIs" dxfId="2400" priority="68" operator="equal">
      <formula>0</formula>
    </cfRule>
  </conditionalFormatting>
  <conditionalFormatting sqref="H191">
    <cfRule type="cellIs" dxfId="2399" priority="69" operator="equal">
      <formula>0</formula>
    </cfRule>
  </conditionalFormatting>
  <conditionalFormatting sqref="H191">
    <cfRule type="cellIs" dxfId="2398" priority="70" operator="equal">
      <formula>0</formula>
    </cfRule>
  </conditionalFormatting>
  <conditionalFormatting sqref="H191">
    <cfRule type="cellIs" dxfId="2397" priority="71" operator="equal">
      <formula>0</formula>
    </cfRule>
  </conditionalFormatting>
  <conditionalFormatting sqref="H191">
    <cfRule type="cellIs" dxfId="2396" priority="72" operator="equal">
      <formula>0</formula>
    </cfRule>
  </conditionalFormatting>
  <conditionalFormatting sqref="H191">
    <cfRule type="cellIs" dxfId="2395" priority="73" operator="equal">
      <formula>0</formula>
    </cfRule>
  </conditionalFormatting>
  <conditionalFormatting sqref="H191">
    <cfRule type="cellIs" dxfId="2394" priority="74" operator="equal">
      <formula>0</formula>
    </cfRule>
  </conditionalFormatting>
  <conditionalFormatting sqref="H191">
    <cfRule type="cellIs" dxfId="2393" priority="75" operator="equal">
      <formula>0</formula>
    </cfRule>
  </conditionalFormatting>
  <conditionalFormatting sqref="H191">
    <cfRule type="cellIs" dxfId="2392" priority="76" operator="equal">
      <formula>0</formula>
    </cfRule>
  </conditionalFormatting>
  <conditionalFormatting sqref="H235">
    <cfRule type="cellIs" dxfId="2391" priority="77" operator="equal">
      <formula>0</formula>
    </cfRule>
  </conditionalFormatting>
  <conditionalFormatting sqref="H235">
    <cfRule type="cellIs" dxfId="2390" priority="78" operator="equal">
      <formula>0</formula>
    </cfRule>
  </conditionalFormatting>
  <conditionalFormatting sqref="H235">
    <cfRule type="cellIs" dxfId="2389" priority="79" operator="equal">
      <formula>0</formula>
    </cfRule>
  </conditionalFormatting>
  <conditionalFormatting sqref="H235">
    <cfRule type="cellIs" dxfId="2388" priority="80" operator="equal">
      <formula>0</formula>
    </cfRule>
  </conditionalFormatting>
  <conditionalFormatting sqref="H235">
    <cfRule type="cellIs" dxfId="2387" priority="81" operator="equal">
      <formula>0</formula>
    </cfRule>
  </conditionalFormatting>
  <conditionalFormatting sqref="H235">
    <cfRule type="cellIs" dxfId="2386" priority="82" operator="equal">
      <formula>0</formula>
    </cfRule>
  </conditionalFormatting>
  <conditionalFormatting sqref="H235">
    <cfRule type="cellIs" dxfId="2385" priority="83" operator="equal">
      <formula>0</formula>
    </cfRule>
  </conditionalFormatting>
  <conditionalFormatting sqref="H235">
    <cfRule type="cellIs" dxfId="2384" priority="84" operator="equal">
      <formula>0</formula>
    </cfRule>
  </conditionalFormatting>
  <conditionalFormatting sqref="H235">
    <cfRule type="cellIs" dxfId="2383" priority="85" operator="equal">
      <formula>0</formula>
    </cfRule>
  </conditionalFormatting>
  <conditionalFormatting sqref="H279">
    <cfRule type="cellIs" dxfId="2382" priority="86" operator="equal">
      <formula>0</formula>
    </cfRule>
  </conditionalFormatting>
  <conditionalFormatting sqref="H279">
    <cfRule type="cellIs" dxfId="2381" priority="87" operator="equal">
      <formula>0</formula>
    </cfRule>
  </conditionalFormatting>
  <conditionalFormatting sqref="H279">
    <cfRule type="cellIs" dxfId="2380" priority="88" operator="equal">
      <formula>0</formula>
    </cfRule>
  </conditionalFormatting>
  <conditionalFormatting sqref="H279">
    <cfRule type="cellIs" dxfId="2379" priority="89" operator="equal">
      <formula>0</formula>
    </cfRule>
  </conditionalFormatting>
  <conditionalFormatting sqref="H279">
    <cfRule type="cellIs" dxfId="2378" priority="90" operator="equal">
      <formula>0</formula>
    </cfRule>
  </conditionalFormatting>
  <conditionalFormatting sqref="H279">
    <cfRule type="cellIs" dxfId="2377" priority="91" operator="equal">
      <formula>0</formula>
    </cfRule>
  </conditionalFormatting>
  <conditionalFormatting sqref="H279">
    <cfRule type="cellIs" dxfId="2376" priority="92" operator="equal">
      <formula>0</formula>
    </cfRule>
  </conditionalFormatting>
  <conditionalFormatting sqref="H279">
    <cfRule type="cellIs" dxfId="2375" priority="93" operator="equal">
      <formula>0</formula>
    </cfRule>
  </conditionalFormatting>
  <conditionalFormatting sqref="H279">
    <cfRule type="cellIs" dxfId="2374" priority="94" operator="equal">
      <formula>0</formula>
    </cfRule>
  </conditionalFormatting>
  <conditionalFormatting sqref="H323">
    <cfRule type="cellIs" dxfId="2373" priority="95" operator="equal">
      <formula>0</formula>
    </cfRule>
  </conditionalFormatting>
  <conditionalFormatting sqref="H323">
    <cfRule type="cellIs" dxfId="2372" priority="96" operator="equal">
      <formula>0</formula>
    </cfRule>
  </conditionalFormatting>
  <conditionalFormatting sqref="H323">
    <cfRule type="cellIs" dxfId="2371" priority="97" operator="equal">
      <formula>0</formula>
    </cfRule>
  </conditionalFormatting>
  <conditionalFormatting sqref="H323">
    <cfRule type="cellIs" dxfId="2370" priority="98" operator="equal">
      <formula>0</formula>
    </cfRule>
  </conditionalFormatting>
  <conditionalFormatting sqref="H323">
    <cfRule type="cellIs" dxfId="2369" priority="99" operator="equal">
      <formula>0</formula>
    </cfRule>
  </conditionalFormatting>
  <conditionalFormatting sqref="H323">
    <cfRule type="cellIs" dxfId="2368" priority="100" operator="equal">
      <formula>0</formula>
    </cfRule>
  </conditionalFormatting>
  <conditionalFormatting sqref="H323">
    <cfRule type="cellIs" dxfId="2367" priority="101" operator="equal">
      <formula>0</formula>
    </cfRule>
  </conditionalFormatting>
  <conditionalFormatting sqref="H323">
    <cfRule type="cellIs" dxfId="2366" priority="102" operator="equal">
      <formula>0</formula>
    </cfRule>
  </conditionalFormatting>
  <conditionalFormatting sqref="H323">
    <cfRule type="cellIs" dxfId="2365" priority="103" operator="equal">
      <formula>0</formula>
    </cfRule>
  </conditionalFormatting>
  <conditionalFormatting sqref="H367">
    <cfRule type="cellIs" dxfId="2364" priority="104" operator="equal">
      <formula>0</formula>
    </cfRule>
  </conditionalFormatting>
  <conditionalFormatting sqref="H367">
    <cfRule type="cellIs" dxfId="2363" priority="105" operator="equal">
      <formula>0</formula>
    </cfRule>
  </conditionalFormatting>
  <conditionalFormatting sqref="H367">
    <cfRule type="cellIs" dxfId="2362" priority="106" operator="equal">
      <formula>0</formula>
    </cfRule>
  </conditionalFormatting>
  <conditionalFormatting sqref="H367">
    <cfRule type="cellIs" dxfId="2361" priority="107" operator="equal">
      <formula>0</formula>
    </cfRule>
  </conditionalFormatting>
  <conditionalFormatting sqref="H367">
    <cfRule type="cellIs" dxfId="2360" priority="108" operator="equal">
      <formula>0</formula>
    </cfRule>
  </conditionalFormatting>
  <conditionalFormatting sqref="H367">
    <cfRule type="cellIs" dxfId="2359" priority="109" operator="equal">
      <formula>0</formula>
    </cfRule>
  </conditionalFormatting>
  <conditionalFormatting sqref="H367">
    <cfRule type="cellIs" dxfId="2358" priority="110" operator="equal">
      <formula>0</formula>
    </cfRule>
  </conditionalFormatting>
  <conditionalFormatting sqref="H367">
    <cfRule type="cellIs" dxfId="2357" priority="111" operator="equal">
      <formula>0</formula>
    </cfRule>
  </conditionalFormatting>
  <conditionalFormatting sqref="H367">
    <cfRule type="cellIs" dxfId="2356" priority="112" operator="equal">
      <formula>0</formula>
    </cfRule>
  </conditionalFormatting>
  <conditionalFormatting sqref="H411">
    <cfRule type="cellIs" dxfId="2355" priority="113" operator="equal">
      <formula>0</formula>
    </cfRule>
  </conditionalFormatting>
  <conditionalFormatting sqref="H411">
    <cfRule type="cellIs" dxfId="2354" priority="114" operator="equal">
      <formula>0</formula>
    </cfRule>
  </conditionalFormatting>
  <conditionalFormatting sqref="H411">
    <cfRule type="cellIs" dxfId="2353" priority="115" operator="equal">
      <formula>0</formula>
    </cfRule>
  </conditionalFormatting>
  <conditionalFormatting sqref="H411">
    <cfRule type="cellIs" dxfId="2352" priority="116" operator="equal">
      <formula>0</formula>
    </cfRule>
  </conditionalFormatting>
  <conditionalFormatting sqref="H411">
    <cfRule type="cellIs" dxfId="2351" priority="117" operator="equal">
      <formula>0</formula>
    </cfRule>
  </conditionalFormatting>
  <conditionalFormatting sqref="H411">
    <cfRule type="cellIs" dxfId="2350" priority="118" operator="equal">
      <formula>0</formula>
    </cfRule>
  </conditionalFormatting>
  <conditionalFormatting sqref="H411">
    <cfRule type="cellIs" dxfId="2349" priority="119" operator="equal">
      <formula>0</formula>
    </cfRule>
  </conditionalFormatting>
  <conditionalFormatting sqref="H411">
    <cfRule type="cellIs" dxfId="2348" priority="120" operator="equal">
      <formula>0</formula>
    </cfRule>
  </conditionalFormatting>
  <conditionalFormatting sqref="H411">
    <cfRule type="cellIs" dxfId="2347" priority="121" operator="equal">
      <formula>0</formula>
    </cfRule>
  </conditionalFormatting>
  <conditionalFormatting sqref="H455">
    <cfRule type="cellIs" dxfId="2346" priority="122" operator="equal">
      <formula>0</formula>
    </cfRule>
  </conditionalFormatting>
  <conditionalFormatting sqref="H455">
    <cfRule type="cellIs" dxfId="2345" priority="123" operator="equal">
      <formula>0</formula>
    </cfRule>
  </conditionalFormatting>
  <conditionalFormatting sqref="H455">
    <cfRule type="cellIs" dxfId="2344" priority="124" operator="equal">
      <formula>0</formula>
    </cfRule>
  </conditionalFormatting>
  <conditionalFormatting sqref="H455">
    <cfRule type="cellIs" dxfId="2343" priority="125" operator="equal">
      <formula>0</formula>
    </cfRule>
  </conditionalFormatting>
  <conditionalFormatting sqref="H455">
    <cfRule type="cellIs" dxfId="2342" priority="126" operator="equal">
      <formula>0</formula>
    </cfRule>
  </conditionalFormatting>
  <conditionalFormatting sqref="H455">
    <cfRule type="cellIs" dxfId="2341" priority="127" operator="equal">
      <formula>0</formula>
    </cfRule>
  </conditionalFormatting>
  <conditionalFormatting sqref="H455">
    <cfRule type="cellIs" dxfId="2340" priority="128" operator="equal">
      <formula>0</formula>
    </cfRule>
  </conditionalFormatting>
  <conditionalFormatting sqref="H455">
    <cfRule type="cellIs" dxfId="2339" priority="129" operator="equal">
      <formula>0</formula>
    </cfRule>
  </conditionalFormatting>
  <conditionalFormatting sqref="H455">
    <cfRule type="cellIs" dxfId="2338" priority="130" operator="equal">
      <formula>0</formula>
    </cfRule>
  </conditionalFormatting>
  <conditionalFormatting sqref="H499">
    <cfRule type="cellIs" dxfId="2337" priority="131" operator="equal">
      <formula>0</formula>
    </cfRule>
  </conditionalFormatting>
  <conditionalFormatting sqref="H499">
    <cfRule type="cellIs" dxfId="2336" priority="132" operator="equal">
      <formula>0</formula>
    </cfRule>
  </conditionalFormatting>
  <conditionalFormatting sqref="H499">
    <cfRule type="cellIs" dxfId="2335" priority="133" operator="equal">
      <formula>0</formula>
    </cfRule>
  </conditionalFormatting>
  <conditionalFormatting sqref="H499">
    <cfRule type="cellIs" dxfId="2334" priority="134" operator="equal">
      <formula>0</formula>
    </cfRule>
  </conditionalFormatting>
  <conditionalFormatting sqref="H499">
    <cfRule type="cellIs" dxfId="2333" priority="135" operator="equal">
      <formula>0</formula>
    </cfRule>
  </conditionalFormatting>
  <conditionalFormatting sqref="H499">
    <cfRule type="cellIs" dxfId="2332" priority="136" operator="equal">
      <formula>0</formula>
    </cfRule>
  </conditionalFormatting>
  <conditionalFormatting sqref="H499">
    <cfRule type="cellIs" dxfId="2331" priority="137" operator="equal">
      <formula>0</formula>
    </cfRule>
  </conditionalFormatting>
  <conditionalFormatting sqref="H499">
    <cfRule type="cellIs" dxfId="2330" priority="138" operator="equal">
      <formula>0</formula>
    </cfRule>
  </conditionalFormatting>
  <conditionalFormatting sqref="H499">
    <cfRule type="cellIs" dxfId="2329" priority="139" operator="equal">
      <formula>0</formula>
    </cfRule>
  </conditionalFormatting>
  <conditionalFormatting sqref="H543">
    <cfRule type="cellIs" dxfId="2328" priority="140" operator="equal">
      <formula>0</formula>
    </cfRule>
  </conditionalFormatting>
  <conditionalFormatting sqref="H543">
    <cfRule type="cellIs" dxfId="2327" priority="141" operator="equal">
      <formula>0</formula>
    </cfRule>
  </conditionalFormatting>
  <conditionalFormatting sqref="H543">
    <cfRule type="cellIs" dxfId="2326" priority="142" operator="equal">
      <formula>0</formula>
    </cfRule>
  </conditionalFormatting>
  <conditionalFormatting sqref="H543">
    <cfRule type="cellIs" dxfId="2325" priority="143" operator="equal">
      <formula>0</formula>
    </cfRule>
  </conditionalFormatting>
  <conditionalFormatting sqref="H543">
    <cfRule type="cellIs" dxfId="2324" priority="144" operator="equal">
      <formula>0</formula>
    </cfRule>
  </conditionalFormatting>
  <conditionalFormatting sqref="H543">
    <cfRule type="cellIs" dxfId="2323" priority="145" operator="equal">
      <formula>0</formula>
    </cfRule>
  </conditionalFormatting>
  <conditionalFormatting sqref="H543">
    <cfRule type="cellIs" dxfId="2322" priority="146" operator="equal">
      <formula>0</formula>
    </cfRule>
  </conditionalFormatting>
  <conditionalFormatting sqref="H543">
    <cfRule type="cellIs" dxfId="2321" priority="147" operator="equal">
      <formula>0</formula>
    </cfRule>
  </conditionalFormatting>
  <conditionalFormatting sqref="H543">
    <cfRule type="cellIs" dxfId="2320" priority="148" operator="equal">
      <formula>0</formula>
    </cfRule>
  </conditionalFormatting>
  <conditionalFormatting sqref="H587">
    <cfRule type="cellIs" dxfId="2319" priority="149" operator="equal">
      <formula>0</formula>
    </cfRule>
  </conditionalFormatting>
  <conditionalFormatting sqref="H587">
    <cfRule type="cellIs" dxfId="2318" priority="150" operator="equal">
      <formula>0</formula>
    </cfRule>
  </conditionalFormatting>
  <conditionalFormatting sqref="H587">
    <cfRule type="cellIs" dxfId="2317" priority="151" operator="equal">
      <formula>0</formula>
    </cfRule>
  </conditionalFormatting>
  <conditionalFormatting sqref="H587">
    <cfRule type="cellIs" dxfId="2316" priority="152" operator="equal">
      <formula>0</formula>
    </cfRule>
  </conditionalFormatting>
  <conditionalFormatting sqref="H587">
    <cfRule type="cellIs" dxfId="2315" priority="153" operator="equal">
      <formula>0</formula>
    </cfRule>
  </conditionalFormatting>
  <conditionalFormatting sqref="H587">
    <cfRule type="cellIs" dxfId="2314" priority="154" operator="equal">
      <formula>0</formula>
    </cfRule>
  </conditionalFormatting>
  <conditionalFormatting sqref="H587">
    <cfRule type="cellIs" dxfId="2313" priority="155" operator="equal">
      <formula>0</formula>
    </cfRule>
  </conditionalFormatting>
  <conditionalFormatting sqref="H587">
    <cfRule type="cellIs" dxfId="2312" priority="156" operator="equal">
      <formula>0</formula>
    </cfRule>
  </conditionalFormatting>
  <conditionalFormatting sqref="H587">
    <cfRule type="cellIs" dxfId="2311" priority="157" operator="equal">
      <formula>0</formula>
    </cfRule>
  </conditionalFormatting>
  <conditionalFormatting sqref="H631">
    <cfRule type="cellIs" dxfId="2310" priority="158" operator="equal">
      <formula>0</formula>
    </cfRule>
  </conditionalFormatting>
  <conditionalFormatting sqref="H631">
    <cfRule type="cellIs" dxfId="2309" priority="159" operator="equal">
      <formula>0</formula>
    </cfRule>
  </conditionalFormatting>
  <conditionalFormatting sqref="H631">
    <cfRule type="cellIs" dxfId="2308" priority="160" operator="equal">
      <formula>0</formula>
    </cfRule>
  </conditionalFormatting>
  <conditionalFormatting sqref="H631">
    <cfRule type="cellIs" dxfId="2307" priority="161" operator="equal">
      <formula>0</formula>
    </cfRule>
  </conditionalFormatting>
  <conditionalFormatting sqref="H631">
    <cfRule type="cellIs" dxfId="2306" priority="162" operator="equal">
      <formula>0</formula>
    </cfRule>
  </conditionalFormatting>
  <conditionalFormatting sqref="H631">
    <cfRule type="cellIs" dxfId="2305" priority="163" operator="equal">
      <formula>0</formula>
    </cfRule>
  </conditionalFormatting>
  <conditionalFormatting sqref="H631">
    <cfRule type="cellIs" dxfId="2304" priority="164" operator="equal">
      <formula>0</formula>
    </cfRule>
  </conditionalFormatting>
  <conditionalFormatting sqref="H631">
    <cfRule type="cellIs" dxfId="2303" priority="165" operator="equal">
      <formula>0</formula>
    </cfRule>
  </conditionalFormatting>
  <conditionalFormatting sqref="H631">
    <cfRule type="cellIs" dxfId="2302" priority="166" operator="equal">
      <formula>0</formula>
    </cfRule>
  </conditionalFormatting>
  <conditionalFormatting sqref="H675">
    <cfRule type="cellIs" dxfId="2301" priority="167" operator="equal">
      <formula>0</formula>
    </cfRule>
  </conditionalFormatting>
  <conditionalFormatting sqref="H675">
    <cfRule type="cellIs" dxfId="2300" priority="168" operator="equal">
      <formula>0</formula>
    </cfRule>
  </conditionalFormatting>
  <conditionalFormatting sqref="H675">
    <cfRule type="cellIs" dxfId="2299" priority="169" operator="equal">
      <formula>0</formula>
    </cfRule>
  </conditionalFormatting>
  <conditionalFormatting sqref="H675">
    <cfRule type="cellIs" dxfId="2298" priority="170" operator="equal">
      <formula>0</formula>
    </cfRule>
  </conditionalFormatting>
  <conditionalFormatting sqref="H675">
    <cfRule type="cellIs" dxfId="2297" priority="171" operator="equal">
      <formula>0</formula>
    </cfRule>
  </conditionalFormatting>
  <conditionalFormatting sqref="H675">
    <cfRule type="cellIs" dxfId="2296" priority="172" operator="equal">
      <formula>0</formula>
    </cfRule>
  </conditionalFormatting>
  <conditionalFormatting sqref="H675">
    <cfRule type="cellIs" dxfId="2295" priority="173" operator="equal">
      <formula>0</formula>
    </cfRule>
  </conditionalFormatting>
  <conditionalFormatting sqref="H675">
    <cfRule type="cellIs" dxfId="2294" priority="174" operator="equal">
      <formula>0</formula>
    </cfRule>
  </conditionalFormatting>
  <conditionalFormatting sqref="H675">
    <cfRule type="cellIs" dxfId="2293" priority="175" operator="equal">
      <formula>0</formula>
    </cfRule>
  </conditionalFormatting>
  <conditionalFormatting sqref="H631">
    <cfRule type="cellIs" dxfId="2292" priority="176" operator="equal">
      <formula>0</formula>
    </cfRule>
  </conditionalFormatting>
  <conditionalFormatting sqref="H631">
    <cfRule type="cellIs" dxfId="2291" priority="177" operator="equal">
      <formula>0</formula>
    </cfRule>
  </conditionalFormatting>
  <conditionalFormatting sqref="H631">
    <cfRule type="cellIs" dxfId="2290" priority="178" operator="equal">
      <formula>0</formula>
    </cfRule>
  </conditionalFormatting>
  <conditionalFormatting sqref="H631">
    <cfRule type="cellIs" dxfId="2289" priority="179" operator="equal">
      <formula>0</formula>
    </cfRule>
  </conditionalFormatting>
  <conditionalFormatting sqref="H631">
    <cfRule type="cellIs" dxfId="2288" priority="180" operator="equal">
      <formula>0</formula>
    </cfRule>
  </conditionalFormatting>
  <conditionalFormatting sqref="H631">
    <cfRule type="cellIs" dxfId="2287" priority="181" operator="equal">
      <formula>0</formula>
    </cfRule>
  </conditionalFormatting>
  <conditionalFormatting sqref="H631">
    <cfRule type="cellIs" dxfId="2286" priority="182" operator="equal">
      <formula>0</formula>
    </cfRule>
  </conditionalFormatting>
  <conditionalFormatting sqref="H631">
    <cfRule type="cellIs" dxfId="2285" priority="183" operator="equal">
      <formula>0</formula>
    </cfRule>
  </conditionalFormatting>
  <conditionalFormatting sqref="H631">
    <cfRule type="cellIs" dxfId="2284" priority="184" operator="equal">
      <formula>0</formula>
    </cfRule>
  </conditionalFormatting>
  <conditionalFormatting sqref="H631">
    <cfRule type="cellIs" dxfId="2283" priority="185" operator="equal">
      <formula>0</formula>
    </cfRule>
  </conditionalFormatting>
  <conditionalFormatting sqref="H631">
    <cfRule type="cellIs" dxfId="2282" priority="186" operator="equal">
      <formula>0</formula>
    </cfRule>
  </conditionalFormatting>
  <conditionalFormatting sqref="H631">
    <cfRule type="cellIs" dxfId="2281" priority="187" operator="equal">
      <formula>0</formula>
    </cfRule>
  </conditionalFormatting>
  <conditionalFormatting sqref="H631">
    <cfRule type="cellIs" dxfId="2280" priority="188" operator="equal">
      <formula>0</formula>
    </cfRule>
  </conditionalFormatting>
  <conditionalFormatting sqref="H587">
    <cfRule type="cellIs" dxfId="2279" priority="189" operator="equal">
      <formula>0</formula>
    </cfRule>
  </conditionalFormatting>
  <conditionalFormatting sqref="H587">
    <cfRule type="cellIs" dxfId="2278" priority="190" operator="equal">
      <formula>0</formula>
    </cfRule>
  </conditionalFormatting>
  <conditionalFormatting sqref="H587">
    <cfRule type="cellIs" dxfId="2277" priority="191" operator="equal">
      <formula>0</formula>
    </cfRule>
  </conditionalFormatting>
  <conditionalFormatting sqref="H587">
    <cfRule type="cellIs" dxfId="2276" priority="192" operator="equal">
      <formula>0</formula>
    </cfRule>
  </conditionalFormatting>
  <conditionalFormatting sqref="H587">
    <cfRule type="cellIs" dxfId="2275" priority="193" operator="equal">
      <formula>0</formula>
    </cfRule>
  </conditionalFormatting>
  <conditionalFormatting sqref="H587">
    <cfRule type="cellIs" dxfId="2274" priority="194" operator="equal">
      <formula>0</formula>
    </cfRule>
  </conditionalFormatting>
  <conditionalFormatting sqref="H587">
    <cfRule type="cellIs" dxfId="2273" priority="195" operator="equal">
      <formula>0</formula>
    </cfRule>
  </conditionalFormatting>
  <conditionalFormatting sqref="H587">
    <cfRule type="cellIs" dxfId="2272" priority="196" operator="equal">
      <formula>0</formula>
    </cfRule>
  </conditionalFormatting>
  <conditionalFormatting sqref="H587">
    <cfRule type="cellIs" dxfId="2271" priority="197" operator="equal">
      <formula>0</formula>
    </cfRule>
  </conditionalFormatting>
  <conditionalFormatting sqref="H587">
    <cfRule type="cellIs" dxfId="2270" priority="198" operator="equal">
      <formula>0</formula>
    </cfRule>
  </conditionalFormatting>
  <conditionalFormatting sqref="H587">
    <cfRule type="cellIs" dxfId="2269" priority="199" operator="equal">
      <formula>0</formula>
    </cfRule>
  </conditionalFormatting>
  <conditionalFormatting sqref="H587">
    <cfRule type="cellIs" dxfId="2268" priority="200" operator="equal">
      <formula>0</formula>
    </cfRule>
  </conditionalFormatting>
  <conditionalFormatting sqref="H587">
    <cfRule type="cellIs" dxfId="2267" priority="201" operator="equal">
      <formula>0</formula>
    </cfRule>
  </conditionalFormatting>
  <conditionalFormatting sqref="H543">
    <cfRule type="cellIs" dxfId="2266" priority="202" operator="equal">
      <formula>0</formula>
    </cfRule>
  </conditionalFormatting>
  <conditionalFormatting sqref="H543">
    <cfRule type="cellIs" dxfId="2265" priority="203" operator="equal">
      <formula>0</formula>
    </cfRule>
  </conditionalFormatting>
  <conditionalFormatting sqref="H543">
    <cfRule type="cellIs" dxfId="2264" priority="204" operator="equal">
      <formula>0</formula>
    </cfRule>
  </conditionalFormatting>
  <conditionalFormatting sqref="H543">
    <cfRule type="cellIs" dxfId="2263" priority="205" operator="equal">
      <formula>0</formula>
    </cfRule>
  </conditionalFormatting>
  <conditionalFormatting sqref="H543">
    <cfRule type="cellIs" dxfId="2262" priority="206" operator="equal">
      <formula>0</formula>
    </cfRule>
  </conditionalFormatting>
  <conditionalFormatting sqref="H543">
    <cfRule type="cellIs" dxfId="2261" priority="207" operator="equal">
      <formula>0</formula>
    </cfRule>
  </conditionalFormatting>
  <conditionalFormatting sqref="H543">
    <cfRule type="cellIs" dxfId="2260" priority="208" operator="equal">
      <formula>0</formula>
    </cfRule>
  </conditionalFormatting>
  <conditionalFormatting sqref="H543">
    <cfRule type="cellIs" dxfId="2259" priority="209" operator="equal">
      <formula>0</formula>
    </cfRule>
  </conditionalFormatting>
  <conditionalFormatting sqref="H543">
    <cfRule type="cellIs" dxfId="2258" priority="210" operator="equal">
      <formula>0</formula>
    </cfRule>
  </conditionalFormatting>
  <conditionalFormatting sqref="H543">
    <cfRule type="cellIs" dxfId="2257" priority="211" operator="equal">
      <formula>0</formula>
    </cfRule>
  </conditionalFormatting>
  <conditionalFormatting sqref="H543">
    <cfRule type="cellIs" dxfId="2256" priority="212" operator="equal">
      <formula>0</formula>
    </cfRule>
  </conditionalFormatting>
  <conditionalFormatting sqref="H543">
    <cfRule type="cellIs" dxfId="2255" priority="213" operator="equal">
      <formula>0</formula>
    </cfRule>
  </conditionalFormatting>
  <conditionalFormatting sqref="H543">
    <cfRule type="cellIs" dxfId="2254" priority="214" operator="equal">
      <formula>0</formula>
    </cfRule>
  </conditionalFormatting>
  <conditionalFormatting sqref="H499">
    <cfRule type="cellIs" dxfId="2253" priority="215" operator="equal">
      <formula>0</formula>
    </cfRule>
  </conditionalFormatting>
  <conditionalFormatting sqref="H499">
    <cfRule type="cellIs" dxfId="2252" priority="216" operator="equal">
      <formula>0</formula>
    </cfRule>
  </conditionalFormatting>
  <conditionalFormatting sqref="H499">
    <cfRule type="cellIs" dxfId="2251" priority="217" operator="equal">
      <formula>0</formula>
    </cfRule>
  </conditionalFormatting>
  <conditionalFormatting sqref="H499">
    <cfRule type="cellIs" dxfId="2250" priority="218" operator="equal">
      <formula>0</formula>
    </cfRule>
  </conditionalFormatting>
  <conditionalFormatting sqref="H499">
    <cfRule type="cellIs" dxfId="2249" priority="219" operator="equal">
      <formula>0</formula>
    </cfRule>
  </conditionalFormatting>
  <conditionalFormatting sqref="H499">
    <cfRule type="cellIs" dxfId="2248" priority="220" operator="equal">
      <formula>0</formula>
    </cfRule>
  </conditionalFormatting>
  <conditionalFormatting sqref="H499">
    <cfRule type="cellIs" dxfId="2247" priority="221" operator="equal">
      <formula>0</formula>
    </cfRule>
  </conditionalFormatting>
  <conditionalFormatting sqref="H499">
    <cfRule type="cellIs" dxfId="2246" priority="222" operator="equal">
      <formula>0</formula>
    </cfRule>
  </conditionalFormatting>
  <conditionalFormatting sqref="H499">
    <cfRule type="cellIs" dxfId="2245" priority="223" operator="equal">
      <formula>0</formula>
    </cfRule>
  </conditionalFormatting>
  <conditionalFormatting sqref="H499">
    <cfRule type="cellIs" dxfId="2244" priority="224" operator="equal">
      <formula>0</formula>
    </cfRule>
  </conditionalFormatting>
  <conditionalFormatting sqref="H499">
    <cfRule type="cellIs" dxfId="2243" priority="225" operator="equal">
      <formula>0</formula>
    </cfRule>
  </conditionalFormatting>
  <conditionalFormatting sqref="H499">
    <cfRule type="cellIs" dxfId="2242" priority="226" operator="equal">
      <formula>0</formula>
    </cfRule>
  </conditionalFormatting>
  <conditionalFormatting sqref="H499">
    <cfRule type="cellIs" dxfId="2241" priority="227" operator="equal">
      <formula>0</formula>
    </cfRule>
  </conditionalFormatting>
  <conditionalFormatting sqref="H455">
    <cfRule type="cellIs" dxfId="2240" priority="228" operator="equal">
      <formula>0</formula>
    </cfRule>
  </conditionalFormatting>
  <conditionalFormatting sqref="H455">
    <cfRule type="cellIs" dxfId="2239" priority="229" operator="equal">
      <formula>0</formula>
    </cfRule>
  </conditionalFormatting>
  <conditionalFormatting sqref="H455">
    <cfRule type="cellIs" dxfId="2238" priority="230" operator="equal">
      <formula>0</formula>
    </cfRule>
  </conditionalFormatting>
  <conditionalFormatting sqref="H455">
    <cfRule type="cellIs" dxfId="2237" priority="231" operator="equal">
      <formula>0</formula>
    </cfRule>
  </conditionalFormatting>
  <conditionalFormatting sqref="H455">
    <cfRule type="cellIs" dxfId="2236" priority="232" operator="equal">
      <formula>0</formula>
    </cfRule>
  </conditionalFormatting>
  <conditionalFormatting sqref="H455">
    <cfRule type="cellIs" dxfId="2235" priority="233" operator="equal">
      <formula>0</formula>
    </cfRule>
  </conditionalFormatting>
  <conditionalFormatting sqref="H455">
    <cfRule type="cellIs" dxfId="2234" priority="234" operator="equal">
      <formula>0</formula>
    </cfRule>
  </conditionalFormatting>
  <conditionalFormatting sqref="H455">
    <cfRule type="cellIs" dxfId="2233" priority="235" operator="equal">
      <formula>0</formula>
    </cfRule>
  </conditionalFormatting>
  <conditionalFormatting sqref="H455">
    <cfRule type="cellIs" dxfId="2232" priority="236" operator="equal">
      <formula>0</formula>
    </cfRule>
  </conditionalFormatting>
  <conditionalFormatting sqref="H455">
    <cfRule type="cellIs" dxfId="2231" priority="237" operator="equal">
      <formula>0</formula>
    </cfRule>
  </conditionalFormatting>
  <conditionalFormatting sqref="H455">
    <cfRule type="cellIs" dxfId="2230" priority="238" operator="equal">
      <formula>0</formula>
    </cfRule>
  </conditionalFormatting>
  <conditionalFormatting sqref="H455">
    <cfRule type="cellIs" dxfId="2229" priority="239" operator="equal">
      <formula>0</formula>
    </cfRule>
  </conditionalFormatting>
  <conditionalFormatting sqref="H455">
    <cfRule type="cellIs" dxfId="2228" priority="240" operator="equal">
      <formula>0</formula>
    </cfRule>
  </conditionalFormatting>
  <conditionalFormatting sqref="H411">
    <cfRule type="cellIs" dxfId="2227" priority="241" operator="equal">
      <formula>0</formula>
    </cfRule>
  </conditionalFormatting>
  <conditionalFormatting sqref="H411">
    <cfRule type="cellIs" dxfId="2226" priority="242" operator="equal">
      <formula>0</formula>
    </cfRule>
  </conditionalFormatting>
  <conditionalFormatting sqref="H411">
    <cfRule type="cellIs" dxfId="2225" priority="243" operator="equal">
      <formula>0</formula>
    </cfRule>
  </conditionalFormatting>
  <conditionalFormatting sqref="H411">
    <cfRule type="cellIs" dxfId="2224" priority="244" operator="equal">
      <formula>0</formula>
    </cfRule>
  </conditionalFormatting>
  <conditionalFormatting sqref="H411">
    <cfRule type="cellIs" dxfId="2223" priority="245" operator="equal">
      <formula>0</formula>
    </cfRule>
  </conditionalFormatting>
  <conditionalFormatting sqref="H411">
    <cfRule type="cellIs" dxfId="2222" priority="246" operator="equal">
      <formula>0</formula>
    </cfRule>
  </conditionalFormatting>
  <conditionalFormatting sqref="H411">
    <cfRule type="cellIs" dxfId="2221" priority="247" operator="equal">
      <formula>0</formula>
    </cfRule>
  </conditionalFormatting>
  <conditionalFormatting sqref="H411">
    <cfRule type="cellIs" dxfId="2220" priority="248" operator="equal">
      <formula>0</formula>
    </cfRule>
  </conditionalFormatting>
  <conditionalFormatting sqref="H411">
    <cfRule type="cellIs" dxfId="2219" priority="249" operator="equal">
      <formula>0</formula>
    </cfRule>
  </conditionalFormatting>
  <conditionalFormatting sqref="H411">
    <cfRule type="cellIs" dxfId="2218" priority="250" operator="equal">
      <formula>0</formula>
    </cfRule>
  </conditionalFormatting>
  <conditionalFormatting sqref="H411">
    <cfRule type="cellIs" dxfId="2217" priority="251" operator="equal">
      <formula>0</formula>
    </cfRule>
  </conditionalFormatting>
  <conditionalFormatting sqref="H411">
    <cfRule type="cellIs" dxfId="2216" priority="252" operator="equal">
      <formula>0</formula>
    </cfRule>
  </conditionalFormatting>
  <conditionalFormatting sqref="H411">
    <cfRule type="cellIs" dxfId="2215" priority="253" operator="equal">
      <formula>0</formula>
    </cfRule>
  </conditionalFormatting>
  <conditionalFormatting sqref="H367">
    <cfRule type="cellIs" dxfId="2214" priority="254" operator="equal">
      <formula>0</formula>
    </cfRule>
  </conditionalFormatting>
  <conditionalFormatting sqref="H367">
    <cfRule type="cellIs" dxfId="2213" priority="255" operator="equal">
      <formula>0</formula>
    </cfRule>
  </conditionalFormatting>
  <conditionalFormatting sqref="H367">
    <cfRule type="cellIs" dxfId="2212" priority="256" operator="equal">
      <formula>0</formula>
    </cfRule>
  </conditionalFormatting>
  <conditionalFormatting sqref="H367">
    <cfRule type="cellIs" dxfId="2211" priority="257" operator="equal">
      <formula>0</formula>
    </cfRule>
  </conditionalFormatting>
  <conditionalFormatting sqref="H367">
    <cfRule type="cellIs" dxfId="2210" priority="258" operator="equal">
      <formula>0</formula>
    </cfRule>
  </conditionalFormatting>
  <conditionalFormatting sqref="H367">
    <cfRule type="cellIs" dxfId="2209" priority="259" operator="equal">
      <formula>0</formula>
    </cfRule>
  </conditionalFormatting>
  <conditionalFormatting sqref="H367">
    <cfRule type="cellIs" dxfId="2208" priority="260" operator="equal">
      <formula>0</formula>
    </cfRule>
  </conditionalFormatting>
  <conditionalFormatting sqref="H367">
    <cfRule type="cellIs" dxfId="2207" priority="261" operator="equal">
      <formula>0</formula>
    </cfRule>
  </conditionalFormatting>
  <conditionalFormatting sqref="H367">
    <cfRule type="cellIs" dxfId="2206" priority="262" operator="equal">
      <formula>0</formula>
    </cfRule>
  </conditionalFormatting>
  <conditionalFormatting sqref="H367">
    <cfRule type="cellIs" dxfId="2205" priority="263" operator="equal">
      <formula>0</formula>
    </cfRule>
  </conditionalFormatting>
  <conditionalFormatting sqref="H367">
    <cfRule type="cellIs" dxfId="2204" priority="264" operator="equal">
      <formula>0</formula>
    </cfRule>
  </conditionalFormatting>
  <conditionalFormatting sqref="H367">
    <cfRule type="cellIs" dxfId="2203" priority="265" operator="equal">
      <formula>0</formula>
    </cfRule>
  </conditionalFormatting>
  <conditionalFormatting sqref="H367">
    <cfRule type="cellIs" dxfId="2202" priority="266" operator="equal">
      <formula>0</formula>
    </cfRule>
  </conditionalFormatting>
  <conditionalFormatting sqref="H323">
    <cfRule type="cellIs" dxfId="2201" priority="267" operator="equal">
      <formula>0</formula>
    </cfRule>
  </conditionalFormatting>
  <conditionalFormatting sqref="H323">
    <cfRule type="cellIs" dxfId="2200" priority="268" operator="equal">
      <formula>0</formula>
    </cfRule>
  </conditionalFormatting>
  <conditionalFormatting sqref="H323">
    <cfRule type="cellIs" dxfId="2199" priority="269" operator="equal">
      <formula>0</formula>
    </cfRule>
  </conditionalFormatting>
  <conditionalFormatting sqref="H323">
    <cfRule type="cellIs" dxfId="2198" priority="270" operator="equal">
      <formula>0</formula>
    </cfRule>
  </conditionalFormatting>
  <conditionalFormatting sqref="H323">
    <cfRule type="cellIs" dxfId="2197" priority="271" operator="equal">
      <formula>0</formula>
    </cfRule>
  </conditionalFormatting>
  <conditionalFormatting sqref="H323">
    <cfRule type="cellIs" dxfId="2196" priority="272" operator="equal">
      <formula>0</formula>
    </cfRule>
  </conditionalFormatting>
  <conditionalFormatting sqref="H323">
    <cfRule type="cellIs" dxfId="2195" priority="273" operator="equal">
      <formula>0</formula>
    </cfRule>
  </conditionalFormatting>
  <conditionalFormatting sqref="H323">
    <cfRule type="cellIs" dxfId="2194" priority="274" operator="equal">
      <formula>0</formula>
    </cfRule>
  </conditionalFormatting>
  <conditionalFormatting sqref="H323">
    <cfRule type="cellIs" dxfId="2193" priority="275" operator="equal">
      <formula>0</formula>
    </cfRule>
  </conditionalFormatting>
  <conditionalFormatting sqref="H323">
    <cfRule type="cellIs" dxfId="2192" priority="276" operator="equal">
      <formula>0</formula>
    </cfRule>
  </conditionalFormatting>
  <conditionalFormatting sqref="H323">
    <cfRule type="cellIs" dxfId="2191" priority="277" operator="equal">
      <formula>0</formula>
    </cfRule>
  </conditionalFormatting>
  <conditionalFormatting sqref="H323">
    <cfRule type="cellIs" dxfId="2190" priority="278" operator="equal">
      <formula>0</formula>
    </cfRule>
  </conditionalFormatting>
  <conditionalFormatting sqref="H323">
    <cfRule type="cellIs" dxfId="2189" priority="279" operator="equal">
      <formula>0</formula>
    </cfRule>
  </conditionalFormatting>
  <conditionalFormatting sqref="H279">
    <cfRule type="cellIs" dxfId="2188" priority="280" operator="equal">
      <formula>0</formula>
    </cfRule>
  </conditionalFormatting>
  <conditionalFormatting sqref="H279">
    <cfRule type="cellIs" dxfId="2187" priority="281" operator="equal">
      <formula>0</formula>
    </cfRule>
  </conditionalFormatting>
  <conditionalFormatting sqref="H279">
    <cfRule type="cellIs" dxfId="2186" priority="282" operator="equal">
      <formula>0</formula>
    </cfRule>
  </conditionalFormatting>
  <conditionalFormatting sqref="H279">
    <cfRule type="cellIs" dxfId="2185" priority="283" operator="equal">
      <formula>0</formula>
    </cfRule>
  </conditionalFormatting>
  <conditionalFormatting sqref="H279">
    <cfRule type="cellIs" dxfId="2184" priority="284" operator="equal">
      <formula>0</formula>
    </cfRule>
  </conditionalFormatting>
  <conditionalFormatting sqref="H279">
    <cfRule type="cellIs" dxfId="2183" priority="285" operator="equal">
      <formula>0</formula>
    </cfRule>
  </conditionalFormatting>
  <conditionalFormatting sqref="H279">
    <cfRule type="cellIs" dxfId="2182" priority="286" operator="equal">
      <formula>0</formula>
    </cfRule>
  </conditionalFormatting>
  <conditionalFormatting sqref="H279">
    <cfRule type="cellIs" dxfId="2181" priority="287" operator="equal">
      <formula>0</formula>
    </cfRule>
  </conditionalFormatting>
  <conditionalFormatting sqref="H279">
    <cfRule type="cellIs" dxfId="2180" priority="288" operator="equal">
      <formula>0</formula>
    </cfRule>
  </conditionalFormatting>
  <conditionalFormatting sqref="H279">
    <cfRule type="cellIs" dxfId="2179" priority="289" operator="equal">
      <formula>0</formula>
    </cfRule>
  </conditionalFormatting>
  <conditionalFormatting sqref="H279">
    <cfRule type="cellIs" dxfId="2178" priority="290" operator="equal">
      <formula>0</formula>
    </cfRule>
  </conditionalFormatting>
  <conditionalFormatting sqref="H279">
    <cfRule type="cellIs" dxfId="2177" priority="291" operator="equal">
      <formula>0</formula>
    </cfRule>
  </conditionalFormatting>
  <conditionalFormatting sqref="H279">
    <cfRule type="cellIs" dxfId="2176" priority="292" operator="equal">
      <formula>0</formula>
    </cfRule>
  </conditionalFormatting>
  <conditionalFormatting sqref="H235">
    <cfRule type="cellIs" dxfId="2175" priority="293" operator="equal">
      <formula>0</formula>
    </cfRule>
  </conditionalFormatting>
  <conditionalFormatting sqref="H235">
    <cfRule type="cellIs" dxfId="2174" priority="294" operator="equal">
      <formula>0</formula>
    </cfRule>
  </conditionalFormatting>
  <conditionalFormatting sqref="H235">
    <cfRule type="cellIs" dxfId="2173" priority="295" operator="equal">
      <formula>0</formula>
    </cfRule>
  </conditionalFormatting>
  <conditionalFormatting sqref="H235">
    <cfRule type="cellIs" dxfId="2172" priority="296" operator="equal">
      <formula>0</formula>
    </cfRule>
  </conditionalFormatting>
  <conditionalFormatting sqref="H235">
    <cfRule type="cellIs" dxfId="2171" priority="297" operator="equal">
      <formula>0</formula>
    </cfRule>
  </conditionalFormatting>
  <conditionalFormatting sqref="H235">
    <cfRule type="cellIs" dxfId="2170" priority="298" operator="equal">
      <formula>0</formula>
    </cfRule>
  </conditionalFormatting>
  <conditionalFormatting sqref="H235">
    <cfRule type="cellIs" dxfId="2169" priority="299" operator="equal">
      <formula>0</formula>
    </cfRule>
  </conditionalFormatting>
  <conditionalFormatting sqref="H235">
    <cfRule type="cellIs" dxfId="2168" priority="300" operator="equal">
      <formula>0</formula>
    </cfRule>
  </conditionalFormatting>
  <conditionalFormatting sqref="H235">
    <cfRule type="cellIs" dxfId="2167" priority="301" operator="equal">
      <formula>0</formula>
    </cfRule>
  </conditionalFormatting>
  <conditionalFormatting sqref="H235">
    <cfRule type="cellIs" dxfId="2166" priority="302" operator="equal">
      <formula>0</formula>
    </cfRule>
  </conditionalFormatting>
  <conditionalFormatting sqref="H235">
    <cfRule type="cellIs" dxfId="2165" priority="303" operator="equal">
      <formula>0</formula>
    </cfRule>
  </conditionalFormatting>
  <conditionalFormatting sqref="H235">
    <cfRule type="cellIs" dxfId="2164" priority="304" operator="equal">
      <formula>0</formula>
    </cfRule>
  </conditionalFormatting>
  <conditionalFormatting sqref="H235">
    <cfRule type="cellIs" dxfId="2163" priority="305" operator="equal">
      <formula>0</formula>
    </cfRule>
  </conditionalFormatting>
  <conditionalFormatting sqref="H191">
    <cfRule type="cellIs" dxfId="2162" priority="306" operator="equal">
      <formula>0</formula>
    </cfRule>
  </conditionalFormatting>
  <conditionalFormatting sqref="H191">
    <cfRule type="cellIs" dxfId="2161" priority="307" operator="equal">
      <formula>0</formula>
    </cfRule>
  </conditionalFormatting>
  <conditionalFormatting sqref="H191">
    <cfRule type="cellIs" dxfId="2160" priority="308" operator="equal">
      <formula>0</formula>
    </cfRule>
  </conditionalFormatting>
  <conditionalFormatting sqref="H191">
    <cfRule type="cellIs" dxfId="2159" priority="309" operator="equal">
      <formula>0</formula>
    </cfRule>
  </conditionalFormatting>
  <conditionalFormatting sqref="H191">
    <cfRule type="cellIs" dxfId="2158" priority="310" operator="equal">
      <formula>0</formula>
    </cfRule>
  </conditionalFormatting>
  <conditionalFormatting sqref="H191">
    <cfRule type="cellIs" dxfId="2157" priority="311" operator="equal">
      <formula>0</formula>
    </cfRule>
  </conditionalFormatting>
  <conditionalFormatting sqref="H191">
    <cfRule type="cellIs" dxfId="2156" priority="312" operator="equal">
      <formula>0</formula>
    </cfRule>
  </conditionalFormatting>
  <conditionalFormatting sqref="H191">
    <cfRule type="cellIs" dxfId="2155" priority="313" operator="equal">
      <formula>0</formula>
    </cfRule>
  </conditionalFormatting>
  <conditionalFormatting sqref="H191">
    <cfRule type="cellIs" dxfId="2154" priority="314" operator="equal">
      <formula>0</formula>
    </cfRule>
  </conditionalFormatting>
  <conditionalFormatting sqref="H191">
    <cfRule type="cellIs" dxfId="2153" priority="315" operator="equal">
      <formula>0</formula>
    </cfRule>
  </conditionalFormatting>
  <conditionalFormatting sqref="H191">
    <cfRule type="cellIs" dxfId="2152" priority="316" operator="equal">
      <formula>0</formula>
    </cfRule>
  </conditionalFormatting>
  <conditionalFormatting sqref="H191">
    <cfRule type="cellIs" dxfId="2151" priority="317" operator="equal">
      <formula>0</formula>
    </cfRule>
  </conditionalFormatting>
  <conditionalFormatting sqref="H191">
    <cfRule type="cellIs" dxfId="2150" priority="318" operator="equal">
      <formula>0</formula>
    </cfRule>
  </conditionalFormatting>
  <conditionalFormatting sqref="H147">
    <cfRule type="cellIs" dxfId="2149" priority="319" operator="equal">
      <formula>0</formula>
    </cfRule>
  </conditionalFormatting>
  <conditionalFormatting sqref="H147">
    <cfRule type="cellIs" dxfId="2148" priority="320" operator="equal">
      <formula>0</formula>
    </cfRule>
  </conditionalFormatting>
  <conditionalFormatting sqref="H147">
    <cfRule type="cellIs" dxfId="2147" priority="321" operator="equal">
      <formula>0</formula>
    </cfRule>
  </conditionalFormatting>
  <conditionalFormatting sqref="H147">
    <cfRule type="cellIs" dxfId="2146" priority="322" operator="equal">
      <formula>0</formula>
    </cfRule>
  </conditionalFormatting>
  <conditionalFormatting sqref="H147">
    <cfRule type="cellIs" dxfId="2145" priority="323" operator="equal">
      <formula>0</formula>
    </cfRule>
  </conditionalFormatting>
  <conditionalFormatting sqref="H147">
    <cfRule type="cellIs" dxfId="2144" priority="324" operator="equal">
      <formula>0</formula>
    </cfRule>
  </conditionalFormatting>
  <conditionalFormatting sqref="H147">
    <cfRule type="cellIs" dxfId="2143" priority="325" operator="equal">
      <formula>0</formula>
    </cfRule>
  </conditionalFormatting>
  <conditionalFormatting sqref="H147">
    <cfRule type="cellIs" dxfId="2142" priority="326" operator="equal">
      <formula>0</formula>
    </cfRule>
  </conditionalFormatting>
  <conditionalFormatting sqref="H147">
    <cfRule type="cellIs" dxfId="2141" priority="327" operator="equal">
      <formula>0</formula>
    </cfRule>
  </conditionalFormatting>
  <conditionalFormatting sqref="H147">
    <cfRule type="cellIs" dxfId="2140" priority="328" operator="equal">
      <formula>0</formula>
    </cfRule>
  </conditionalFormatting>
  <conditionalFormatting sqref="H147">
    <cfRule type="cellIs" dxfId="2139" priority="329" operator="equal">
      <formula>0</formula>
    </cfRule>
  </conditionalFormatting>
  <conditionalFormatting sqref="H147">
    <cfRule type="cellIs" dxfId="2138" priority="330" operator="equal">
      <formula>0</formula>
    </cfRule>
  </conditionalFormatting>
  <conditionalFormatting sqref="H147">
    <cfRule type="cellIs" dxfId="2137" priority="331" operator="equal">
      <formula>0</formula>
    </cfRule>
  </conditionalFormatting>
  <conditionalFormatting sqref="H103">
    <cfRule type="cellIs" dxfId="2136" priority="332" operator="equal">
      <formula>0</formula>
    </cfRule>
  </conditionalFormatting>
  <conditionalFormatting sqref="H103">
    <cfRule type="cellIs" dxfId="2135" priority="333" operator="equal">
      <formula>0</formula>
    </cfRule>
  </conditionalFormatting>
  <conditionalFormatting sqref="H103">
    <cfRule type="cellIs" dxfId="2134" priority="334" operator="equal">
      <formula>0</formula>
    </cfRule>
  </conditionalFormatting>
  <conditionalFormatting sqref="H103">
    <cfRule type="cellIs" dxfId="2133" priority="335" operator="equal">
      <formula>0</formula>
    </cfRule>
  </conditionalFormatting>
  <conditionalFormatting sqref="H103">
    <cfRule type="cellIs" dxfId="2132" priority="336" operator="equal">
      <formula>0</formula>
    </cfRule>
  </conditionalFormatting>
  <conditionalFormatting sqref="H103">
    <cfRule type="cellIs" dxfId="2131" priority="337" operator="equal">
      <formula>0</formula>
    </cfRule>
  </conditionalFormatting>
  <conditionalFormatting sqref="H103">
    <cfRule type="cellIs" dxfId="2130" priority="338" operator="equal">
      <formula>0</formula>
    </cfRule>
  </conditionalFormatting>
  <conditionalFormatting sqref="H103">
    <cfRule type="cellIs" dxfId="2129" priority="339" operator="equal">
      <formula>0</formula>
    </cfRule>
  </conditionalFormatting>
  <conditionalFormatting sqref="H103">
    <cfRule type="cellIs" dxfId="2128" priority="340" operator="equal">
      <formula>0</formula>
    </cfRule>
  </conditionalFormatting>
  <conditionalFormatting sqref="H103">
    <cfRule type="cellIs" dxfId="2127" priority="341" operator="equal">
      <formula>0</formula>
    </cfRule>
  </conditionalFormatting>
  <conditionalFormatting sqref="H103">
    <cfRule type="cellIs" dxfId="2126" priority="342" operator="equal">
      <formula>0</formula>
    </cfRule>
  </conditionalFormatting>
  <conditionalFormatting sqref="H103">
    <cfRule type="cellIs" dxfId="2125" priority="343" operator="equal">
      <formula>0</formula>
    </cfRule>
  </conditionalFormatting>
  <conditionalFormatting sqref="H103">
    <cfRule type="cellIs" dxfId="2124" priority="344" operator="equal">
      <formula>0</formula>
    </cfRule>
  </conditionalFormatting>
  <conditionalFormatting sqref="H59">
    <cfRule type="cellIs" dxfId="2123" priority="345" operator="equal">
      <formula>0</formula>
    </cfRule>
  </conditionalFormatting>
  <conditionalFormatting sqref="H59">
    <cfRule type="cellIs" dxfId="2122" priority="346" operator="equal">
      <formula>0</formula>
    </cfRule>
  </conditionalFormatting>
  <conditionalFormatting sqref="H59">
    <cfRule type="cellIs" dxfId="2121" priority="347" operator="equal">
      <formula>0</formula>
    </cfRule>
  </conditionalFormatting>
  <conditionalFormatting sqref="H59">
    <cfRule type="cellIs" dxfId="2120" priority="348" operator="equal">
      <formula>0</formula>
    </cfRule>
  </conditionalFormatting>
  <conditionalFormatting sqref="H59">
    <cfRule type="cellIs" dxfId="2119" priority="349" operator="equal">
      <formula>0</formula>
    </cfRule>
  </conditionalFormatting>
  <conditionalFormatting sqref="H59">
    <cfRule type="cellIs" dxfId="2118" priority="350" operator="equal">
      <formula>0</formula>
    </cfRule>
  </conditionalFormatting>
  <conditionalFormatting sqref="H59">
    <cfRule type="cellIs" dxfId="2117" priority="351" operator="equal">
      <formula>0</formula>
    </cfRule>
  </conditionalFormatting>
  <conditionalFormatting sqref="H59">
    <cfRule type="cellIs" dxfId="2116" priority="352" operator="equal">
      <formula>0</formula>
    </cfRule>
  </conditionalFormatting>
  <conditionalFormatting sqref="H59">
    <cfRule type="cellIs" dxfId="2115" priority="353" operator="equal">
      <formula>0</formula>
    </cfRule>
  </conditionalFormatting>
  <conditionalFormatting sqref="H59">
    <cfRule type="cellIs" dxfId="2114" priority="354" operator="equal">
      <formula>0</formula>
    </cfRule>
  </conditionalFormatting>
  <conditionalFormatting sqref="H59">
    <cfRule type="cellIs" dxfId="2113" priority="355" operator="equal">
      <formula>0</formula>
    </cfRule>
  </conditionalFormatting>
  <conditionalFormatting sqref="H59">
    <cfRule type="cellIs" dxfId="2112" priority="356" operator="equal">
      <formula>0</formula>
    </cfRule>
  </conditionalFormatting>
  <conditionalFormatting sqref="H59">
    <cfRule type="cellIs" dxfId="2111" priority="357" operator="equal">
      <formula>0</formula>
    </cfRule>
  </conditionalFormatting>
  <conditionalFormatting sqref="H59">
    <cfRule type="cellIs" dxfId="2110" priority="358" operator="equal">
      <formula>0</formula>
    </cfRule>
  </conditionalFormatting>
  <conditionalFormatting sqref="H59">
    <cfRule type="cellIs" dxfId="2109" priority="359" operator="equal">
      <formula>0</formula>
    </cfRule>
  </conditionalFormatting>
  <conditionalFormatting sqref="H59">
    <cfRule type="cellIs" dxfId="2108" priority="360" operator="equal">
      <formula>0</formula>
    </cfRule>
  </conditionalFormatting>
  <conditionalFormatting sqref="H59">
    <cfRule type="cellIs" dxfId="2107" priority="361" operator="equal">
      <formula>0</formula>
    </cfRule>
  </conditionalFormatting>
  <conditionalFormatting sqref="H59">
    <cfRule type="cellIs" dxfId="2106" priority="362" operator="equal">
      <formula>0</formula>
    </cfRule>
  </conditionalFormatting>
  <conditionalFormatting sqref="H59">
    <cfRule type="cellIs" dxfId="2105" priority="363" operator="equal">
      <formula>0</formula>
    </cfRule>
  </conditionalFormatting>
  <conditionalFormatting sqref="H59">
    <cfRule type="cellIs" dxfId="2104" priority="364" operator="equal">
      <formula>0</formula>
    </cfRule>
  </conditionalFormatting>
  <conditionalFormatting sqref="H59">
    <cfRule type="cellIs" dxfId="2103" priority="365" operator="equal">
      <formula>0</formula>
    </cfRule>
  </conditionalFormatting>
  <conditionalFormatting sqref="H103">
    <cfRule type="cellIs" dxfId="2102" priority="366" operator="equal">
      <formula>0</formula>
    </cfRule>
  </conditionalFormatting>
  <conditionalFormatting sqref="H103">
    <cfRule type="cellIs" dxfId="2101" priority="367" operator="equal">
      <formula>0</formula>
    </cfRule>
  </conditionalFormatting>
  <conditionalFormatting sqref="H103">
    <cfRule type="cellIs" dxfId="2100" priority="368" operator="equal">
      <formula>0</formula>
    </cfRule>
  </conditionalFormatting>
  <conditionalFormatting sqref="H103">
    <cfRule type="cellIs" dxfId="2099" priority="369" operator="equal">
      <formula>0</formula>
    </cfRule>
  </conditionalFormatting>
  <conditionalFormatting sqref="H103">
    <cfRule type="cellIs" dxfId="2098" priority="370" operator="equal">
      <formula>0</formula>
    </cfRule>
  </conditionalFormatting>
  <conditionalFormatting sqref="H103">
    <cfRule type="cellIs" dxfId="2097" priority="371" operator="equal">
      <formula>0</formula>
    </cfRule>
  </conditionalFormatting>
  <conditionalFormatting sqref="H103">
    <cfRule type="cellIs" dxfId="2096" priority="372" operator="equal">
      <formula>0</formula>
    </cfRule>
  </conditionalFormatting>
  <conditionalFormatting sqref="H103">
    <cfRule type="cellIs" dxfId="2095" priority="373" operator="equal">
      <formula>0</formula>
    </cfRule>
  </conditionalFormatting>
  <conditionalFormatting sqref="H103">
    <cfRule type="cellIs" dxfId="2094" priority="374" operator="equal">
      <formula>0</formula>
    </cfRule>
  </conditionalFormatting>
  <conditionalFormatting sqref="H103">
    <cfRule type="cellIs" dxfId="2093" priority="375" operator="equal">
      <formula>0</formula>
    </cfRule>
  </conditionalFormatting>
  <conditionalFormatting sqref="H103">
    <cfRule type="cellIs" dxfId="2092" priority="376" operator="equal">
      <formula>0</formula>
    </cfRule>
  </conditionalFormatting>
  <conditionalFormatting sqref="H103">
    <cfRule type="cellIs" dxfId="2091" priority="377" operator="equal">
      <formula>0</formula>
    </cfRule>
  </conditionalFormatting>
  <conditionalFormatting sqref="H103">
    <cfRule type="cellIs" dxfId="2090" priority="378" operator="equal">
      <formula>0</formula>
    </cfRule>
  </conditionalFormatting>
  <conditionalFormatting sqref="H103">
    <cfRule type="cellIs" dxfId="2089" priority="379" operator="equal">
      <formula>0</formula>
    </cfRule>
  </conditionalFormatting>
  <conditionalFormatting sqref="H103">
    <cfRule type="cellIs" dxfId="2088" priority="380" operator="equal">
      <formula>0</formula>
    </cfRule>
  </conditionalFormatting>
  <conditionalFormatting sqref="H103">
    <cfRule type="cellIs" dxfId="2087" priority="381" operator="equal">
      <formula>0</formula>
    </cfRule>
  </conditionalFormatting>
  <conditionalFormatting sqref="H103">
    <cfRule type="cellIs" dxfId="2086" priority="382" operator="equal">
      <formula>0</formula>
    </cfRule>
  </conditionalFormatting>
  <conditionalFormatting sqref="H103">
    <cfRule type="cellIs" dxfId="2085" priority="383" operator="equal">
      <formula>0</formula>
    </cfRule>
  </conditionalFormatting>
  <conditionalFormatting sqref="H103">
    <cfRule type="cellIs" dxfId="2084" priority="384" operator="equal">
      <formula>0</formula>
    </cfRule>
  </conditionalFormatting>
  <conditionalFormatting sqref="H103">
    <cfRule type="cellIs" dxfId="2083" priority="385" operator="equal">
      <formula>0</formula>
    </cfRule>
  </conditionalFormatting>
  <conditionalFormatting sqref="H103">
    <cfRule type="cellIs" dxfId="2082" priority="386" operator="equal">
      <formula>0</formula>
    </cfRule>
  </conditionalFormatting>
  <conditionalFormatting sqref="H103">
    <cfRule type="cellIs" dxfId="2081" priority="387" operator="equal">
      <formula>0</formula>
    </cfRule>
  </conditionalFormatting>
  <conditionalFormatting sqref="H103">
    <cfRule type="cellIs" dxfId="2080" priority="388" operator="equal">
      <formula>0</formula>
    </cfRule>
  </conditionalFormatting>
  <conditionalFormatting sqref="H103">
    <cfRule type="cellIs" dxfId="2079" priority="389" operator="equal">
      <formula>0</formula>
    </cfRule>
  </conditionalFormatting>
  <conditionalFormatting sqref="H147">
    <cfRule type="cellIs" dxfId="2078" priority="390" operator="equal">
      <formula>0</formula>
    </cfRule>
  </conditionalFormatting>
  <conditionalFormatting sqref="H147">
    <cfRule type="cellIs" dxfId="2077" priority="391" operator="equal">
      <formula>0</formula>
    </cfRule>
  </conditionalFormatting>
  <conditionalFormatting sqref="H147">
    <cfRule type="cellIs" dxfId="2076" priority="392" operator="equal">
      <formula>0</formula>
    </cfRule>
  </conditionalFormatting>
  <conditionalFormatting sqref="H147">
    <cfRule type="cellIs" dxfId="2075" priority="393" operator="equal">
      <formula>0</formula>
    </cfRule>
  </conditionalFormatting>
  <conditionalFormatting sqref="H147">
    <cfRule type="cellIs" dxfId="2074" priority="394" operator="equal">
      <formula>0</formula>
    </cfRule>
  </conditionalFormatting>
  <conditionalFormatting sqref="H147">
    <cfRule type="cellIs" dxfId="2073" priority="395" operator="equal">
      <formula>0</formula>
    </cfRule>
  </conditionalFormatting>
  <conditionalFormatting sqref="H147">
    <cfRule type="cellIs" dxfId="2072" priority="396" operator="equal">
      <formula>0</formula>
    </cfRule>
  </conditionalFormatting>
  <conditionalFormatting sqref="H147">
    <cfRule type="cellIs" dxfId="2071" priority="397" operator="equal">
      <formula>0</formula>
    </cfRule>
  </conditionalFormatting>
  <conditionalFormatting sqref="H147">
    <cfRule type="cellIs" dxfId="2070" priority="398" operator="equal">
      <formula>0</formula>
    </cfRule>
  </conditionalFormatting>
  <conditionalFormatting sqref="H147">
    <cfRule type="cellIs" dxfId="2069" priority="399" operator="equal">
      <formula>0</formula>
    </cfRule>
  </conditionalFormatting>
  <conditionalFormatting sqref="H147">
    <cfRule type="cellIs" dxfId="2068" priority="400" operator="equal">
      <formula>0</formula>
    </cfRule>
  </conditionalFormatting>
  <conditionalFormatting sqref="H147">
    <cfRule type="cellIs" dxfId="2067" priority="401" operator="equal">
      <formula>0</formula>
    </cfRule>
  </conditionalFormatting>
  <conditionalFormatting sqref="H147">
    <cfRule type="cellIs" dxfId="2066" priority="402" operator="equal">
      <formula>0</formula>
    </cfRule>
  </conditionalFormatting>
  <conditionalFormatting sqref="H147">
    <cfRule type="cellIs" dxfId="2065" priority="403" operator="equal">
      <formula>0</formula>
    </cfRule>
  </conditionalFormatting>
  <conditionalFormatting sqref="H147">
    <cfRule type="cellIs" dxfId="2064" priority="404" operator="equal">
      <formula>0</formula>
    </cfRule>
  </conditionalFormatting>
  <conditionalFormatting sqref="H147">
    <cfRule type="cellIs" dxfId="2063" priority="405" operator="equal">
      <formula>0</formula>
    </cfRule>
  </conditionalFormatting>
  <conditionalFormatting sqref="H147">
    <cfRule type="cellIs" dxfId="2062" priority="406" operator="equal">
      <formula>0</formula>
    </cfRule>
  </conditionalFormatting>
  <conditionalFormatting sqref="H147">
    <cfRule type="cellIs" dxfId="2061" priority="407" operator="equal">
      <formula>0</formula>
    </cfRule>
  </conditionalFormatting>
  <conditionalFormatting sqref="H147">
    <cfRule type="cellIs" dxfId="2060" priority="408" operator="equal">
      <formula>0</formula>
    </cfRule>
  </conditionalFormatting>
  <conditionalFormatting sqref="H147">
    <cfRule type="cellIs" dxfId="2059" priority="409" operator="equal">
      <formula>0</formula>
    </cfRule>
  </conditionalFormatting>
  <conditionalFormatting sqref="H147">
    <cfRule type="cellIs" dxfId="2058" priority="410" operator="equal">
      <formula>0</formula>
    </cfRule>
  </conditionalFormatting>
  <conditionalFormatting sqref="H147">
    <cfRule type="cellIs" dxfId="2057" priority="411" operator="equal">
      <formula>0</formula>
    </cfRule>
  </conditionalFormatting>
  <conditionalFormatting sqref="H147">
    <cfRule type="cellIs" dxfId="2056" priority="412" operator="equal">
      <formula>0</formula>
    </cfRule>
  </conditionalFormatting>
  <conditionalFormatting sqref="H147">
    <cfRule type="cellIs" dxfId="2055" priority="413" operator="equal">
      <formula>0</formula>
    </cfRule>
  </conditionalFormatting>
  <conditionalFormatting sqref="H147">
    <cfRule type="cellIs" dxfId="2054" priority="414" operator="equal">
      <formula>0</formula>
    </cfRule>
  </conditionalFormatting>
  <conditionalFormatting sqref="H147">
    <cfRule type="cellIs" dxfId="2053" priority="415" operator="equal">
      <formula>0</formula>
    </cfRule>
  </conditionalFormatting>
  <conditionalFormatting sqref="H147">
    <cfRule type="cellIs" dxfId="2052" priority="416" operator="equal">
      <formula>0</formula>
    </cfRule>
  </conditionalFormatting>
  <conditionalFormatting sqref="H147">
    <cfRule type="cellIs" dxfId="2051" priority="417" operator="equal">
      <formula>0</formula>
    </cfRule>
  </conditionalFormatting>
  <conditionalFormatting sqref="H147">
    <cfRule type="cellIs" dxfId="2050" priority="418" operator="equal">
      <formula>0</formula>
    </cfRule>
  </conditionalFormatting>
  <conditionalFormatting sqref="H147">
    <cfRule type="cellIs" dxfId="2049" priority="419" operator="equal">
      <formula>0</formula>
    </cfRule>
  </conditionalFormatting>
  <conditionalFormatting sqref="H147">
    <cfRule type="cellIs" dxfId="2048" priority="420" operator="equal">
      <formula>0</formula>
    </cfRule>
  </conditionalFormatting>
  <conditionalFormatting sqref="H147">
    <cfRule type="cellIs" dxfId="2047" priority="421" operator="equal">
      <formula>0</formula>
    </cfRule>
  </conditionalFormatting>
  <conditionalFormatting sqref="H147">
    <cfRule type="cellIs" dxfId="2046" priority="422" operator="equal">
      <formula>0</formula>
    </cfRule>
  </conditionalFormatting>
  <conditionalFormatting sqref="H147">
    <cfRule type="cellIs" dxfId="2045" priority="423" operator="equal">
      <formula>0</formula>
    </cfRule>
  </conditionalFormatting>
  <conditionalFormatting sqref="H147">
    <cfRule type="cellIs" dxfId="2044" priority="424" operator="equal">
      <formula>0</formula>
    </cfRule>
  </conditionalFormatting>
  <conditionalFormatting sqref="H147">
    <cfRule type="cellIs" dxfId="2043" priority="425" operator="equal">
      <formula>0</formula>
    </cfRule>
  </conditionalFormatting>
  <conditionalFormatting sqref="H147">
    <cfRule type="cellIs" dxfId="2042" priority="426" operator="equal">
      <formula>0</formula>
    </cfRule>
  </conditionalFormatting>
  <conditionalFormatting sqref="H147">
    <cfRule type="cellIs" dxfId="2041" priority="427" operator="equal">
      <formula>0</formula>
    </cfRule>
  </conditionalFormatting>
  <conditionalFormatting sqref="H147">
    <cfRule type="cellIs" dxfId="2040" priority="428" operator="equal">
      <formula>0</formula>
    </cfRule>
  </conditionalFormatting>
  <conditionalFormatting sqref="H147">
    <cfRule type="cellIs" dxfId="2039" priority="429" operator="equal">
      <formula>0</formula>
    </cfRule>
  </conditionalFormatting>
  <conditionalFormatting sqref="H147">
    <cfRule type="cellIs" dxfId="2038" priority="430" operator="equal">
      <formula>0</formula>
    </cfRule>
  </conditionalFormatting>
  <conditionalFormatting sqref="H147">
    <cfRule type="cellIs" dxfId="2037" priority="431" operator="equal">
      <formula>0</formula>
    </cfRule>
  </conditionalFormatting>
  <conditionalFormatting sqref="H147">
    <cfRule type="cellIs" dxfId="2036" priority="432" operator="equal">
      <formula>0</formula>
    </cfRule>
  </conditionalFormatting>
  <conditionalFormatting sqref="H147">
    <cfRule type="cellIs" dxfId="2035" priority="433" operator="equal">
      <formula>0</formula>
    </cfRule>
  </conditionalFormatting>
  <conditionalFormatting sqref="H147">
    <cfRule type="cellIs" dxfId="2034" priority="434" operator="equal">
      <formula>0</formula>
    </cfRule>
  </conditionalFormatting>
  <conditionalFormatting sqref="H191">
    <cfRule type="cellIs" dxfId="2033" priority="435" operator="equal">
      <formula>0</formula>
    </cfRule>
  </conditionalFormatting>
  <conditionalFormatting sqref="H191">
    <cfRule type="cellIs" dxfId="2032" priority="436" operator="equal">
      <formula>0</formula>
    </cfRule>
  </conditionalFormatting>
  <conditionalFormatting sqref="H191">
    <cfRule type="cellIs" dxfId="2031" priority="437" operator="equal">
      <formula>0</formula>
    </cfRule>
  </conditionalFormatting>
  <conditionalFormatting sqref="H191">
    <cfRule type="cellIs" dxfId="2030" priority="438" operator="equal">
      <formula>0</formula>
    </cfRule>
  </conditionalFormatting>
  <conditionalFormatting sqref="H191">
    <cfRule type="cellIs" dxfId="2029" priority="439" operator="equal">
      <formula>0</formula>
    </cfRule>
  </conditionalFormatting>
  <conditionalFormatting sqref="H191">
    <cfRule type="cellIs" dxfId="2028" priority="440" operator="equal">
      <formula>0</formula>
    </cfRule>
  </conditionalFormatting>
  <conditionalFormatting sqref="H191">
    <cfRule type="cellIs" dxfId="2027" priority="441" operator="equal">
      <formula>0</formula>
    </cfRule>
  </conditionalFormatting>
  <conditionalFormatting sqref="H191">
    <cfRule type="cellIs" dxfId="2026" priority="442" operator="equal">
      <formula>0</formula>
    </cfRule>
  </conditionalFormatting>
  <conditionalFormatting sqref="H191">
    <cfRule type="cellIs" dxfId="2025" priority="443" operator="equal">
      <formula>0</formula>
    </cfRule>
  </conditionalFormatting>
  <conditionalFormatting sqref="H191">
    <cfRule type="cellIs" dxfId="2024" priority="444" operator="equal">
      <formula>0</formula>
    </cfRule>
  </conditionalFormatting>
  <conditionalFormatting sqref="H191">
    <cfRule type="cellIs" dxfId="2023" priority="445" operator="equal">
      <formula>0</formula>
    </cfRule>
  </conditionalFormatting>
  <conditionalFormatting sqref="H191">
    <cfRule type="cellIs" dxfId="2022" priority="446" operator="equal">
      <formula>0</formula>
    </cfRule>
  </conditionalFormatting>
  <conditionalFormatting sqref="H191">
    <cfRule type="cellIs" dxfId="2021" priority="447" operator="equal">
      <formula>0</formula>
    </cfRule>
  </conditionalFormatting>
  <conditionalFormatting sqref="H191">
    <cfRule type="cellIs" dxfId="2020" priority="448" operator="equal">
      <formula>0</formula>
    </cfRule>
  </conditionalFormatting>
  <conditionalFormatting sqref="H191">
    <cfRule type="cellIs" dxfId="2019" priority="449" operator="equal">
      <formula>0</formula>
    </cfRule>
  </conditionalFormatting>
  <conditionalFormatting sqref="H191">
    <cfRule type="cellIs" dxfId="2018" priority="450" operator="equal">
      <formula>0</formula>
    </cfRule>
  </conditionalFormatting>
  <conditionalFormatting sqref="H191">
    <cfRule type="cellIs" dxfId="2017" priority="451" operator="equal">
      <formula>0</formula>
    </cfRule>
  </conditionalFormatting>
  <conditionalFormatting sqref="H191">
    <cfRule type="cellIs" dxfId="2016" priority="452" operator="equal">
      <formula>0</formula>
    </cfRule>
  </conditionalFormatting>
  <conditionalFormatting sqref="H191">
    <cfRule type="cellIs" dxfId="2015" priority="453" operator="equal">
      <formula>0</formula>
    </cfRule>
  </conditionalFormatting>
  <conditionalFormatting sqref="H191">
    <cfRule type="cellIs" dxfId="2014" priority="454" operator="equal">
      <formula>0</formula>
    </cfRule>
  </conditionalFormatting>
  <conditionalFormatting sqref="H191">
    <cfRule type="cellIs" dxfId="2013" priority="455" operator="equal">
      <formula>0</formula>
    </cfRule>
  </conditionalFormatting>
  <conditionalFormatting sqref="H191">
    <cfRule type="cellIs" dxfId="2012" priority="456" operator="equal">
      <formula>0</formula>
    </cfRule>
  </conditionalFormatting>
  <conditionalFormatting sqref="H191">
    <cfRule type="cellIs" dxfId="2011" priority="457" operator="equal">
      <formula>0</formula>
    </cfRule>
  </conditionalFormatting>
  <conditionalFormatting sqref="H191">
    <cfRule type="cellIs" dxfId="2010" priority="458" operator="equal">
      <formula>0</formula>
    </cfRule>
  </conditionalFormatting>
  <conditionalFormatting sqref="H191">
    <cfRule type="cellIs" dxfId="2009" priority="459" operator="equal">
      <formula>0</formula>
    </cfRule>
  </conditionalFormatting>
  <conditionalFormatting sqref="H191">
    <cfRule type="cellIs" dxfId="2008" priority="460" operator="equal">
      <formula>0</formula>
    </cfRule>
  </conditionalFormatting>
  <conditionalFormatting sqref="H191">
    <cfRule type="cellIs" dxfId="2007" priority="461" operator="equal">
      <formula>0</formula>
    </cfRule>
  </conditionalFormatting>
  <conditionalFormatting sqref="H191">
    <cfRule type="cellIs" dxfId="2006" priority="462" operator="equal">
      <formula>0</formula>
    </cfRule>
  </conditionalFormatting>
  <conditionalFormatting sqref="H191">
    <cfRule type="cellIs" dxfId="2005" priority="463" operator="equal">
      <formula>0</formula>
    </cfRule>
  </conditionalFormatting>
  <conditionalFormatting sqref="H191">
    <cfRule type="cellIs" dxfId="2004" priority="464" operator="equal">
      <formula>0</formula>
    </cfRule>
  </conditionalFormatting>
  <conditionalFormatting sqref="H191">
    <cfRule type="cellIs" dxfId="2003" priority="465" operator="equal">
      <formula>0</formula>
    </cfRule>
  </conditionalFormatting>
  <conditionalFormatting sqref="H191">
    <cfRule type="cellIs" dxfId="2002" priority="466" operator="equal">
      <formula>0</formula>
    </cfRule>
  </conditionalFormatting>
  <conditionalFormatting sqref="H191">
    <cfRule type="cellIs" dxfId="2001" priority="467" operator="equal">
      <formula>0</formula>
    </cfRule>
  </conditionalFormatting>
  <conditionalFormatting sqref="H191">
    <cfRule type="cellIs" dxfId="2000" priority="468" operator="equal">
      <formula>0</formula>
    </cfRule>
  </conditionalFormatting>
  <conditionalFormatting sqref="H191">
    <cfRule type="cellIs" dxfId="1999" priority="469" operator="equal">
      <formula>0</formula>
    </cfRule>
  </conditionalFormatting>
  <conditionalFormatting sqref="H191">
    <cfRule type="cellIs" dxfId="1998" priority="470" operator="equal">
      <formula>0</formula>
    </cfRule>
  </conditionalFormatting>
  <conditionalFormatting sqref="H191">
    <cfRule type="cellIs" dxfId="1997" priority="471" operator="equal">
      <formula>0</formula>
    </cfRule>
  </conditionalFormatting>
  <conditionalFormatting sqref="H191">
    <cfRule type="cellIs" dxfId="1996" priority="472" operator="equal">
      <formula>0</formula>
    </cfRule>
  </conditionalFormatting>
  <conditionalFormatting sqref="H191">
    <cfRule type="cellIs" dxfId="1995" priority="473" operator="equal">
      <formula>0</formula>
    </cfRule>
  </conditionalFormatting>
  <conditionalFormatting sqref="H191">
    <cfRule type="cellIs" dxfId="1994" priority="474" operator="equal">
      <formula>0</formula>
    </cfRule>
  </conditionalFormatting>
  <conditionalFormatting sqref="H191">
    <cfRule type="cellIs" dxfId="1993" priority="475" operator="equal">
      <formula>0</formula>
    </cfRule>
  </conditionalFormatting>
  <conditionalFormatting sqref="H191">
    <cfRule type="cellIs" dxfId="1992" priority="476" operator="equal">
      <formula>0</formula>
    </cfRule>
  </conditionalFormatting>
  <conditionalFormatting sqref="H191">
    <cfRule type="cellIs" dxfId="1991" priority="477" operator="equal">
      <formula>0</formula>
    </cfRule>
  </conditionalFormatting>
  <conditionalFormatting sqref="H191">
    <cfRule type="cellIs" dxfId="1990" priority="478" operator="equal">
      <formula>0</formula>
    </cfRule>
  </conditionalFormatting>
  <conditionalFormatting sqref="H191">
    <cfRule type="cellIs" dxfId="1989" priority="479" operator="equal">
      <formula>0</formula>
    </cfRule>
  </conditionalFormatting>
  <conditionalFormatting sqref="H235">
    <cfRule type="cellIs" dxfId="1988" priority="480" operator="equal">
      <formula>0</formula>
    </cfRule>
  </conditionalFormatting>
  <conditionalFormatting sqref="H235">
    <cfRule type="cellIs" dxfId="1987" priority="481" operator="equal">
      <formula>0</formula>
    </cfRule>
  </conditionalFormatting>
  <conditionalFormatting sqref="H235">
    <cfRule type="cellIs" dxfId="1986" priority="482" operator="equal">
      <formula>0</formula>
    </cfRule>
  </conditionalFormatting>
  <conditionalFormatting sqref="H235">
    <cfRule type="cellIs" dxfId="1985" priority="483" operator="equal">
      <formula>0</formula>
    </cfRule>
  </conditionalFormatting>
  <conditionalFormatting sqref="H235">
    <cfRule type="cellIs" dxfId="1984" priority="484" operator="equal">
      <formula>0</formula>
    </cfRule>
  </conditionalFormatting>
  <conditionalFormatting sqref="H235">
    <cfRule type="cellIs" dxfId="1983" priority="485" operator="equal">
      <formula>0</formula>
    </cfRule>
  </conditionalFormatting>
  <conditionalFormatting sqref="H235">
    <cfRule type="cellIs" dxfId="1982" priority="486" operator="equal">
      <formula>0</formula>
    </cfRule>
  </conditionalFormatting>
  <conditionalFormatting sqref="H235">
    <cfRule type="cellIs" dxfId="1981" priority="487" operator="equal">
      <formula>0</formula>
    </cfRule>
  </conditionalFormatting>
  <conditionalFormatting sqref="H235">
    <cfRule type="cellIs" dxfId="1980" priority="488" operator="equal">
      <formula>0</formula>
    </cfRule>
  </conditionalFormatting>
  <conditionalFormatting sqref="H235">
    <cfRule type="cellIs" dxfId="1979" priority="489" operator="equal">
      <formula>0</formula>
    </cfRule>
  </conditionalFormatting>
  <conditionalFormatting sqref="H235">
    <cfRule type="cellIs" dxfId="1978" priority="490" operator="equal">
      <formula>0</formula>
    </cfRule>
  </conditionalFormatting>
  <conditionalFormatting sqref="H235">
    <cfRule type="cellIs" dxfId="1977" priority="491" operator="equal">
      <formula>0</formula>
    </cfRule>
  </conditionalFormatting>
  <conditionalFormatting sqref="H235">
    <cfRule type="cellIs" dxfId="1976" priority="492" operator="equal">
      <formula>0</formula>
    </cfRule>
  </conditionalFormatting>
  <conditionalFormatting sqref="H235">
    <cfRule type="cellIs" dxfId="1975" priority="493" operator="equal">
      <formula>0</formula>
    </cfRule>
  </conditionalFormatting>
  <conditionalFormatting sqref="H235">
    <cfRule type="cellIs" dxfId="1974" priority="494" operator="equal">
      <formula>0</formula>
    </cfRule>
  </conditionalFormatting>
  <conditionalFormatting sqref="H235">
    <cfRule type="cellIs" dxfId="1973" priority="495" operator="equal">
      <formula>0</formula>
    </cfRule>
  </conditionalFormatting>
  <conditionalFormatting sqref="H235">
    <cfRule type="cellIs" dxfId="1972" priority="496" operator="equal">
      <formula>0</formula>
    </cfRule>
  </conditionalFormatting>
  <conditionalFormatting sqref="H235">
    <cfRule type="cellIs" dxfId="1971" priority="497" operator="equal">
      <formula>0</formula>
    </cfRule>
  </conditionalFormatting>
  <conditionalFormatting sqref="H235">
    <cfRule type="cellIs" dxfId="1970" priority="498" operator="equal">
      <formula>0</formula>
    </cfRule>
  </conditionalFormatting>
  <conditionalFormatting sqref="H235">
    <cfRule type="cellIs" dxfId="1969" priority="499" operator="equal">
      <formula>0</formula>
    </cfRule>
  </conditionalFormatting>
  <conditionalFormatting sqref="H235">
    <cfRule type="cellIs" dxfId="1968" priority="500" operator="equal">
      <formula>0</formula>
    </cfRule>
  </conditionalFormatting>
  <conditionalFormatting sqref="H235">
    <cfRule type="cellIs" dxfId="1967" priority="501" operator="equal">
      <formula>0</formula>
    </cfRule>
  </conditionalFormatting>
  <conditionalFormatting sqref="H235">
    <cfRule type="cellIs" dxfId="1966" priority="502" operator="equal">
      <formula>0</formula>
    </cfRule>
  </conditionalFormatting>
  <conditionalFormatting sqref="H235">
    <cfRule type="cellIs" dxfId="1965" priority="503" operator="equal">
      <formula>0</formula>
    </cfRule>
  </conditionalFormatting>
  <conditionalFormatting sqref="H235">
    <cfRule type="cellIs" dxfId="1964" priority="504" operator="equal">
      <formula>0</formula>
    </cfRule>
  </conditionalFormatting>
  <conditionalFormatting sqref="H235">
    <cfRule type="cellIs" dxfId="1963" priority="505" operator="equal">
      <formula>0</formula>
    </cfRule>
  </conditionalFormatting>
  <conditionalFormatting sqref="H235">
    <cfRule type="cellIs" dxfId="1962" priority="506" operator="equal">
      <formula>0</formula>
    </cfRule>
  </conditionalFormatting>
  <conditionalFormatting sqref="H235">
    <cfRule type="cellIs" dxfId="1961" priority="507" operator="equal">
      <formula>0</formula>
    </cfRule>
  </conditionalFormatting>
  <conditionalFormatting sqref="H235">
    <cfRule type="cellIs" dxfId="1960" priority="508" operator="equal">
      <formula>0</formula>
    </cfRule>
  </conditionalFormatting>
  <conditionalFormatting sqref="H235">
    <cfRule type="cellIs" dxfId="1959" priority="509" operator="equal">
      <formula>0</formula>
    </cfRule>
  </conditionalFormatting>
  <conditionalFormatting sqref="H235">
    <cfRule type="cellIs" dxfId="1958" priority="510" operator="equal">
      <formula>0</formula>
    </cfRule>
  </conditionalFormatting>
  <conditionalFormatting sqref="H235">
    <cfRule type="cellIs" dxfId="1957" priority="511" operator="equal">
      <formula>0</formula>
    </cfRule>
  </conditionalFormatting>
  <conditionalFormatting sqref="H235">
    <cfRule type="cellIs" dxfId="1956" priority="512" operator="equal">
      <formula>0</formula>
    </cfRule>
  </conditionalFormatting>
  <conditionalFormatting sqref="H235">
    <cfRule type="cellIs" dxfId="1955" priority="513" operator="equal">
      <formula>0</formula>
    </cfRule>
  </conditionalFormatting>
  <conditionalFormatting sqref="H235">
    <cfRule type="cellIs" dxfId="1954" priority="514" operator="equal">
      <formula>0</formula>
    </cfRule>
  </conditionalFormatting>
  <conditionalFormatting sqref="H235">
    <cfRule type="cellIs" dxfId="1953" priority="515" operator="equal">
      <formula>0</formula>
    </cfRule>
  </conditionalFormatting>
  <conditionalFormatting sqref="H235">
    <cfRule type="cellIs" dxfId="1952" priority="516" operator="equal">
      <formula>0</formula>
    </cfRule>
  </conditionalFormatting>
  <conditionalFormatting sqref="H235">
    <cfRule type="cellIs" dxfId="1951" priority="517" operator="equal">
      <formula>0</formula>
    </cfRule>
  </conditionalFormatting>
  <conditionalFormatting sqref="H235">
    <cfRule type="cellIs" dxfId="1950" priority="518" operator="equal">
      <formula>0</formula>
    </cfRule>
  </conditionalFormatting>
  <conditionalFormatting sqref="H235">
    <cfRule type="cellIs" dxfId="1949" priority="519" operator="equal">
      <formula>0</formula>
    </cfRule>
  </conditionalFormatting>
  <conditionalFormatting sqref="H235">
    <cfRule type="cellIs" dxfId="1948" priority="520" operator="equal">
      <formula>0</formula>
    </cfRule>
  </conditionalFormatting>
  <conditionalFormatting sqref="H235">
    <cfRule type="cellIs" dxfId="1947" priority="521" operator="equal">
      <formula>0</formula>
    </cfRule>
  </conditionalFormatting>
  <conditionalFormatting sqref="H235">
    <cfRule type="cellIs" dxfId="1946" priority="522" operator="equal">
      <formula>0</formula>
    </cfRule>
  </conditionalFormatting>
  <conditionalFormatting sqref="H235">
    <cfRule type="cellIs" dxfId="1945" priority="523" operator="equal">
      <formula>0</formula>
    </cfRule>
  </conditionalFormatting>
  <conditionalFormatting sqref="H235">
    <cfRule type="cellIs" dxfId="1944" priority="524" operator="equal">
      <formula>0</formula>
    </cfRule>
  </conditionalFormatting>
  <conditionalFormatting sqref="H191">
    <cfRule type="cellIs" dxfId="1943" priority="525" operator="equal">
      <formula>0</formula>
    </cfRule>
  </conditionalFormatting>
  <conditionalFormatting sqref="H191">
    <cfRule type="cellIs" dxfId="1942" priority="526" operator="equal">
      <formula>0</formula>
    </cfRule>
  </conditionalFormatting>
  <conditionalFormatting sqref="H191">
    <cfRule type="cellIs" dxfId="1941" priority="527" operator="equal">
      <formula>0</formula>
    </cfRule>
  </conditionalFormatting>
  <conditionalFormatting sqref="H191">
    <cfRule type="cellIs" dxfId="1940" priority="528" operator="equal">
      <formula>0</formula>
    </cfRule>
  </conditionalFormatting>
  <conditionalFormatting sqref="H191">
    <cfRule type="cellIs" dxfId="1939" priority="529" operator="equal">
      <formula>0</formula>
    </cfRule>
  </conditionalFormatting>
  <conditionalFormatting sqref="H191">
    <cfRule type="cellIs" dxfId="1938" priority="530" operator="equal">
      <formula>0</formula>
    </cfRule>
  </conditionalFormatting>
  <conditionalFormatting sqref="H191">
    <cfRule type="cellIs" dxfId="1937" priority="531" operator="equal">
      <formula>0</formula>
    </cfRule>
  </conditionalFormatting>
  <conditionalFormatting sqref="H191">
    <cfRule type="cellIs" dxfId="1936" priority="532" operator="equal">
      <formula>0</formula>
    </cfRule>
  </conditionalFormatting>
  <conditionalFormatting sqref="H191">
    <cfRule type="cellIs" dxfId="1935" priority="533" operator="equal">
      <formula>0</formula>
    </cfRule>
  </conditionalFormatting>
  <conditionalFormatting sqref="H191">
    <cfRule type="cellIs" dxfId="1934" priority="534" operator="equal">
      <formula>0</formula>
    </cfRule>
  </conditionalFormatting>
  <conditionalFormatting sqref="H191">
    <cfRule type="cellIs" dxfId="1933" priority="535" operator="equal">
      <formula>0</formula>
    </cfRule>
  </conditionalFormatting>
  <conditionalFormatting sqref="H191">
    <cfRule type="cellIs" dxfId="1932" priority="536" operator="equal">
      <formula>0</formula>
    </cfRule>
  </conditionalFormatting>
  <conditionalFormatting sqref="H191">
    <cfRule type="cellIs" dxfId="1931" priority="537" operator="equal">
      <formula>0</formula>
    </cfRule>
  </conditionalFormatting>
  <conditionalFormatting sqref="H191">
    <cfRule type="cellIs" dxfId="1930" priority="538" operator="equal">
      <formula>0</formula>
    </cfRule>
  </conditionalFormatting>
  <conditionalFormatting sqref="H191">
    <cfRule type="cellIs" dxfId="1929" priority="539" operator="equal">
      <formula>0</formula>
    </cfRule>
  </conditionalFormatting>
  <conditionalFormatting sqref="H191">
    <cfRule type="cellIs" dxfId="1928" priority="540" operator="equal">
      <formula>0</formula>
    </cfRule>
  </conditionalFormatting>
  <conditionalFormatting sqref="H191">
    <cfRule type="cellIs" dxfId="1927" priority="541" operator="equal">
      <formula>0</formula>
    </cfRule>
  </conditionalFormatting>
  <conditionalFormatting sqref="H191">
    <cfRule type="cellIs" dxfId="1926" priority="542" operator="equal">
      <formula>0</formula>
    </cfRule>
  </conditionalFormatting>
  <conditionalFormatting sqref="H191">
    <cfRule type="cellIs" dxfId="1925" priority="543" operator="equal">
      <formula>0</formula>
    </cfRule>
  </conditionalFormatting>
  <conditionalFormatting sqref="H191">
    <cfRule type="cellIs" dxfId="1924" priority="544" operator="equal">
      <formula>0</formula>
    </cfRule>
  </conditionalFormatting>
  <conditionalFormatting sqref="H191">
    <cfRule type="cellIs" dxfId="1923" priority="545" operator="equal">
      <formula>0</formula>
    </cfRule>
  </conditionalFormatting>
  <conditionalFormatting sqref="H191">
    <cfRule type="cellIs" dxfId="1922" priority="546" operator="equal">
      <formula>0</formula>
    </cfRule>
  </conditionalFormatting>
  <conditionalFormatting sqref="H191">
    <cfRule type="cellIs" dxfId="1921" priority="547" operator="equal">
      <formula>0</formula>
    </cfRule>
  </conditionalFormatting>
  <conditionalFormatting sqref="H191">
    <cfRule type="cellIs" dxfId="1920" priority="548" operator="equal">
      <formula>0</formula>
    </cfRule>
  </conditionalFormatting>
  <conditionalFormatting sqref="H191">
    <cfRule type="cellIs" dxfId="1919" priority="549" operator="equal">
      <formula>0</formula>
    </cfRule>
  </conditionalFormatting>
  <conditionalFormatting sqref="H191">
    <cfRule type="cellIs" dxfId="1918" priority="550" operator="equal">
      <formula>0</formula>
    </cfRule>
  </conditionalFormatting>
  <conditionalFormatting sqref="H191">
    <cfRule type="cellIs" dxfId="1917" priority="551" operator="equal">
      <formula>0</formula>
    </cfRule>
  </conditionalFormatting>
  <conditionalFormatting sqref="H191">
    <cfRule type="cellIs" dxfId="1916" priority="552" operator="equal">
      <formula>0</formula>
    </cfRule>
  </conditionalFormatting>
  <conditionalFormatting sqref="H191">
    <cfRule type="cellIs" dxfId="1915" priority="553" operator="equal">
      <formula>0</formula>
    </cfRule>
  </conditionalFormatting>
  <conditionalFormatting sqref="H191">
    <cfRule type="cellIs" dxfId="1914" priority="554" operator="equal">
      <formula>0</formula>
    </cfRule>
  </conditionalFormatting>
  <conditionalFormatting sqref="H191">
    <cfRule type="cellIs" dxfId="1913" priority="555" operator="equal">
      <formula>0</formula>
    </cfRule>
  </conditionalFormatting>
  <conditionalFormatting sqref="H191">
    <cfRule type="cellIs" dxfId="1912" priority="556" operator="equal">
      <formula>0</formula>
    </cfRule>
  </conditionalFormatting>
  <conditionalFormatting sqref="H191">
    <cfRule type="cellIs" dxfId="1911" priority="557" operator="equal">
      <formula>0</formula>
    </cfRule>
  </conditionalFormatting>
  <conditionalFormatting sqref="H191">
    <cfRule type="cellIs" dxfId="1910" priority="558" operator="equal">
      <formula>0</formula>
    </cfRule>
  </conditionalFormatting>
  <conditionalFormatting sqref="H191">
    <cfRule type="cellIs" dxfId="1909" priority="559" operator="equal">
      <formula>0</formula>
    </cfRule>
  </conditionalFormatting>
  <conditionalFormatting sqref="H191">
    <cfRule type="cellIs" dxfId="1908" priority="560" operator="equal">
      <formula>0</formula>
    </cfRule>
  </conditionalFormatting>
  <conditionalFormatting sqref="H191">
    <cfRule type="cellIs" dxfId="1907" priority="561" operator="equal">
      <formula>0</formula>
    </cfRule>
  </conditionalFormatting>
  <conditionalFormatting sqref="H191">
    <cfRule type="cellIs" dxfId="1906" priority="562" operator="equal">
      <formula>0</formula>
    </cfRule>
  </conditionalFormatting>
  <conditionalFormatting sqref="H191">
    <cfRule type="cellIs" dxfId="1905" priority="563" operator="equal">
      <formula>0</formula>
    </cfRule>
  </conditionalFormatting>
  <conditionalFormatting sqref="H191">
    <cfRule type="cellIs" dxfId="1904" priority="564" operator="equal">
      <formula>0</formula>
    </cfRule>
  </conditionalFormatting>
  <conditionalFormatting sqref="H191">
    <cfRule type="cellIs" dxfId="1903" priority="565" operator="equal">
      <formula>0</formula>
    </cfRule>
  </conditionalFormatting>
  <conditionalFormatting sqref="H191">
    <cfRule type="cellIs" dxfId="1902" priority="566" operator="equal">
      <formula>0</formula>
    </cfRule>
  </conditionalFormatting>
  <conditionalFormatting sqref="H191">
    <cfRule type="cellIs" dxfId="1901" priority="567" operator="equal">
      <formula>0</formula>
    </cfRule>
  </conditionalFormatting>
  <conditionalFormatting sqref="H191">
    <cfRule type="cellIs" dxfId="1900" priority="568" operator="equal">
      <formula>0</formula>
    </cfRule>
  </conditionalFormatting>
  <conditionalFormatting sqref="H191">
    <cfRule type="cellIs" dxfId="1899" priority="569" operator="equal">
      <formula>0</formula>
    </cfRule>
  </conditionalFormatting>
  <conditionalFormatting sqref="H191">
    <cfRule type="cellIs" dxfId="1898" priority="570" operator="equal">
      <formula>0</formula>
    </cfRule>
  </conditionalFormatting>
  <conditionalFormatting sqref="H191">
    <cfRule type="cellIs" dxfId="1897" priority="571" operator="equal">
      <formula>0</formula>
    </cfRule>
  </conditionalFormatting>
  <conditionalFormatting sqref="H191">
    <cfRule type="cellIs" dxfId="1896" priority="572" operator="equal">
      <formula>0</formula>
    </cfRule>
  </conditionalFormatting>
  <conditionalFormatting sqref="H191">
    <cfRule type="cellIs" dxfId="1895" priority="573" operator="equal">
      <formula>0</formula>
    </cfRule>
  </conditionalFormatting>
  <conditionalFormatting sqref="H191">
    <cfRule type="cellIs" dxfId="1894" priority="574" operator="equal">
      <formula>0</formula>
    </cfRule>
  </conditionalFormatting>
  <conditionalFormatting sqref="H191">
    <cfRule type="cellIs" dxfId="1893" priority="575" operator="equal">
      <formula>0</formula>
    </cfRule>
  </conditionalFormatting>
  <conditionalFormatting sqref="H191">
    <cfRule type="cellIs" dxfId="1892" priority="576" operator="equal">
      <formula>0</formula>
    </cfRule>
  </conditionalFormatting>
  <conditionalFormatting sqref="H191">
    <cfRule type="cellIs" dxfId="1891" priority="577" operator="equal">
      <formula>0</formula>
    </cfRule>
  </conditionalFormatting>
  <conditionalFormatting sqref="H191">
    <cfRule type="cellIs" dxfId="1890" priority="578" operator="equal">
      <formula>0</formula>
    </cfRule>
  </conditionalFormatting>
  <conditionalFormatting sqref="H191">
    <cfRule type="cellIs" dxfId="1889" priority="579" operator="equal">
      <formula>0</formula>
    </cfRule>
  </conditionalFormatting>
  <conditionalFormatting sqref="H191">
    <cfRule type="cellIs" dxfId="1888" priority="580" operator="equal">
      <formula>0</formula>
    </cfRule>
  </conditionalFormatting>
  <conditionalFormatting sqref="H191">
    <cfRule type="cellIs" dxfId="1887" priority="581" operator="equal">
      <formula>0</formula>
    </cfRule>
  </conditionalFormatting>
  <conditionalFormatting sqref="H191">
    <cfRule type="cellIs" dxfId="1886" priority="582" operator="equal">
      <formula>0</formula>
    </cfRule>
  </conditionalFormatting>
  <conditionalFormatting sqref="H191">
    <cfRule type="cellIs" dxfId="1885" priority="583" operator="equal">
      <formula>0</formula>
    </cfRule>
  </conditionalFormatting>
  <conditionalFormatting sqref="H191">
    <cfRule type="cellIs" dxfId="1884" priority="584" operator="equal">
      <formula>0</formula>
    </cfRule>
  </conditionalFormatting>
  <conditionalFormatting sqref="H191">
    <cfRule type="cellIs" dxfId="1883" priority="585" operator="equal">
      <formula>0</formula>
    </cfRule>
  </conditionalFormatting>
  <conditionalFormatting sqref="H191">
    <cfRule type="cellIs" dxfId="1882" priority="586" operator="equal">
      <formula>0</formula>
    </cfRule>
  </conditionalFormatting>
  <conditionalFormatting sqref="H191">
    <cfRule type="cellIs" dxfId="1881" priority="587" operator="equal">
      <formula>0</formula>
    </cfRule>
  </conditionalFormatting>
  <conditionalFormatting sqref="H191">
    <cfRule type="cellIs" dxfId="1880" priority="588" operator="equal">
      <formula>0</formula>
    </cfRule>
  </conditionalFormatting>
  <conditionalFormatting sqref="H191">
    <cfRule type="cellIs" dxfId="1879" priority="589" operator="equal">
      <formula>0</formula>
    </cfRule>
  </conditionalFormatting>
  <conditionalFormatting sqref="H191">
    <cfRule type="cellIs" dxfId="1878" priority="590" operator="equal">
      <formula>0</formula>
    </cfRule>
  </conditionalFormatting>
  <conditionalFormatting sqref="H191">
    <cfRule type="cellIs" dxfId="1877" priority="591" operator="equal">
      <formula>0</formula>
    </cfRule>
  </conditionalFormatting>
  <conditionalFormatting sqref="H235">
    <cfRule type="cellIs" dxfId="1876" priority="592" operator="equal">
      <formula>0</formula>
    </cfRule>
  </conditionalFormatting>
  <conditionalFormatting sqref="H235">
    <cfRule type="cellIs" dxfId="1875" priority="593" operator="equal">
      <formula>0</formula>
    </cfRule>
  </conditionalFormatting>
  <conditionalFormatting sqref="H235">
    <cfRule type="cellIs" dxfId="1874" priority="594" operator="equal">
      <formula>0</formula>
    </cfRule>
  </conditionalFormatting>
  <conditionalFormatting sqref="H235">
    <cfRule type="cellIs" dxfId="1873" priority="595" operator="equal">
      <formula>0</formula>
    </cfRule>
  </conditionalFormatting>
  <conditionalFormatting sqref="H235">
    <cfRule type="cellIs" dxfId="1872" priority="596" operator="equal">
      <formula>0</formula>
    </cfRule>
  </conditionalFormatting>
  <conditionalFormatting sqref="H235">
    <cfRule type="cellIs" dxfId="1871" priority="597" operator="equal">
      <formula>0</formula>
    </cfRule>
  </conditionalFormatting>
  <conditionalFormatting sqref="H235">
    <cfRule type="cellIs" dxfId="1870" priority="598" operator="equal">
      <formula>0</formula>
    </cfRule>
  </conditionalFormatting>
  <conditionalFormatting sqref="H235">
    <cfRule type="cellIs" dxfId="1869" priority="599" operator="equal">
      <formula>0</formula>
    </cfRule>
  </conditionalFormatting>
  <conditionalFormatting sqref="H235">
    <cfRule type="cellIs" dxfId="1868" priority="600" operator="equal">
      <formula>0</formula>
    </cfRule>
  </conditionalFormatting>
  <conditionalFormatting sqref="H235">
    <cfRule type="cellIs" dxfId="1867" priority="601" operator="equal">
      <formula>0</formula>
    </cfRule>
  </conditionalFormatting>
  <conditionalFormatting sqref="H235">
    <cfRule type="cellIs" dxfId="1866" priority="602" operator="equal">
      <formula>0</formula>
    </cfRule>
  </conditionalFormatting>
  <conditionalFormatting sqref="H235">
    <cfRule type="cellIs" dxfId="1865" priority="603" operator="equal">
      <formula>0</formula>
    </cfRule>
  </conditionalFormatting>
  <conditionalFormatting sqref="H235">
    <cfRule type="cellIs" dxfId="1864" priority="604" operator="equal">
      <formula>0</formula>
    </cfRule>
  </conditionalFormatting>
  <conditionalFormatting sqref="H235">
    <cfRule type="cellIs" dxfId="1863" priority="605" operator="equal">
      <formula>0</formula>
    </cfRule>
  </conditionalFormatting>
  <conditionalFormatting sqref="H235">
    <cfRule type="cellIs" dxfId="1862" priority="606" operator="equal">
      <formula>0</formula>
    </cfRule>
  </conditionalFormatting>
  <conditionalFormatting sqref="H235">
    <cfRule type="cellIs" dxfId="1861" priority="607" operator="equal">
      <formula>0</formula>
    </cfRule>
  </conditionalFormatting>
  <conditionalFormatting sqref="H235">
    <cfRule type="cellIs" dxfId="1860" priority="608" operator="equal">
      <formula>0</formula>
    </cfRule>
  </conditionalFormatting>
  <conditionalFormatting sqref="H235">
    <cfRule type="cellIs" dxfId="1859" priority="609" operator="equal">
      <formula>0</formula>
    </cfRule>
  </conditionalFormatting>
  <conditionalFormatting sqref="H235">
    <cfRule type="cellIs" dxfId="1858" priority="610" operator="equal">
      <formula>0</formula>
    </cfRule>
  </conditionalFormatting>
  <conditionalFormatting sqref="H235">
    <cfRule type="cellIs" dxfId="1857" priority="611" operator="equal">
      <formula>0</formula>
    </cfRule>
  </conditionalFormatting>
  <conditionalFormatting sqref="H235">
    <cfRule type="cellIs" dxfId="1856" priority="612" operator="equal">
      <formula>0</formula>
    </cfRule>
  </conditionalFormatting>
  <conditionalFormatting sqref="H235">
    <cfRule type="cellIs" dxfId="1855" priority="613" operator="equal">
      <formula>0</formula>
    </cfRule>
  </conditionalFormatting>
  <conditionalFormatting sqref="H235">
    <cfRule type="cellIs" dxfId="1854" priority="614" operator="equal">
      <formula>0</formula>
    </cfRule>
  </conditionalFormatting>
  <conditionalFormatting sqref="H235">
    <cfRule type="cellIs" dxfId="1853" priority="615" operator="equal">
      <formula>0</formula>
    </cfRule>
  </conditionalFormatting>
  <conditionalFormatting sqref="H235">
    <cfRule type="cellIs" dxfId="1852" priority="616" operator="equal">
      <formula>0</formula>
    </cfRule>
  </conditionalFormatting>
  <conditionalFormatting sqref="H235">
    <cfRule type="cellIs" dxfId="1851" priority="617" operator="equal">
      <formula>0</formula>
    </cfRule>
  </conditionalFormatting>
  <conditionalFormatting sqref="H235">
    <cfRule type="cellIs" dxfId="1850" priority="618" operator="equal">
      <formula>0</formula>
    </cfRule>
  </conditionalFormatting>
  <conditionalFormatting sqref="H235">
    <cfRule type="cellIs" dxfId="1849" priority="619" operator="equal">
      <formula>0</formula>
    </cfRule>
  </conditionalFormatting>
  <conditionalFormatting sqref="H235">
    <cfRule type="cellIs" dxfId="1848" priority="620" operator="equal">
      <formula>0</formula>
    </cfRule>
  </conditionalFormatting>
  <conditionalFormatting sqref="H235">
    <cfRule type="cellIs" dxfId="1847" priority="621" operator="equal">
      <formula>0</formula>
    </cfRule>
  </conditionalFormatting>
  <conditionalFormatting sqref="H235">
    <cfRule type="cellIs" dxfId="1846" priority="622" operator="equal">
      <formula>0</formula>
    </cfRule>
  </conditionalFormatting>
  <conditionalFormatting sqref="H235">
    <cfRule type="cellIs" dxfId="1845" priority="623" operator="equal">
      <formula>0</formula>
    </cfRule>
  </conditionalFormatting>
  <conditionalFormatting sqref="H235">
    <cfRule type="cellIs" dxfId="1844" priority="624" operator="equal">
      <formula>0</formula>
    </cfRule>
  </conditionalFormatting>
  <conditionalFormatting sqref="H235">
    <cfRule type="cellIs" dxfId="1843" priority="625" operator="equal">
      <formula>0</formula>
    </cfRule>
  </conditionalFormatting>
  <conditionalFormatting sqref="H235">
    <cfRule type="cellIs" dxfId="1842" priority="626" operator="equal">
      <formula>0</formula>
    </cfRule>
  </conditionalFormatting>
  <conditionalFormatting sqref="H235">
    <cfRule type="cellIs" dxfId="1841" priority="627" operator="equal">
      <formula>0</formula>
    </cfRule>
  </conditionalFormatting>
  <conditionalFormatting sqref="H235">
    <cfRule type="cellIs" dxfId="1840" priority="628" operator="equal">
      <formula>0</formula>
    </cfRule>
  </conditionalFormatting>
  <conditionalFormatting sqref="H235">
    <cfRule type="cellIs" dxfId="1839" priority="629" operator="equal">
      <formula>0</formula>
    </cfRule>
  </conditionalFormatting>
  <conditionalFormatting sqref="H235">
    <cfRule type="cellIs" dxfId="1838" priority="630" operator="equal">
      <formula>0</formula>
    </cfRule>
  </conditionalFormatting>
  <conditionalFormatting sqref="H235">
    <cfRule type="cellIs" dxfId="1837" priority="631" operator="equal">
      <formula>0</formula>
    </cfRule>
  </conditionalFormatting>
  <conditionalFormatting sqref="H235">
    <cfRule type="cellIs" dxfId="1836" priority="632" operator="equal">
      <formula>0</formula>
    </cfRule>
  </conditionalFormatting>
  <conditionalFormatting sqref="H235">
    <cfRule type="cellIs" dxfId="1835" priority="633" operator="equal">
      <formula>0</formula>
    </cfRule>
  </conditionalFormatting>
  <conditionalFormatting sqref="H235">
    <cfRule type="cellIs" dxfId="1834" priority="634" operator="equal">
      <formula>0</formula>
    </cfRule>
  </conditionalFormatting>
  <conditionalFormatting sqref="H235">
    <cfRule type="cellIs" dxfId="1833" priority="635" operator="equal">
      <formula>0</formula>
    </cfRule>
  </conditionalFormatting>
  <conditionalFormatting sqref="H235">
    <cfRule type="cellIs" dxfId="1832" priority="636" operator="equal">
      <formula>0</formula>
    </cfRule>
  </conditionalFormatting>
  <conditionalFormatting sqref="H235">
    <cfRule type="cellIs" dxfId="1831" priority="637" operator="equal">
      <formula>0</formula>
    </cfRule>
  </conditionalFormatting>
  <conditionalFormatting sqref="H235">
    <cfRule type="cellIs" dxfId="1830" priority="638" operator="equal">
      <formula>0</formula>
    </cfRule>
  </conditionalFormatting>
  <conditionalFormatting sqref="H235">
    <cfRule type="cellIs" dxfId="1829" priority="639" operator="equal">
      <formula>0</formula>
    </cfRule>
  </conditionalFormatting>
  <conditionalFormatting sqref="H235">
    <cfRule type="cellIs" dxfId="1828" priority="640" operator="equal">
      <formula>0</formula>
    </cfRule>
  </conditionalFormatting>
  <conditionalFormatting sqref="H235">
    <cfRule type="cellIs" dxfId="1827" priority="641" operator="equal">
      <formula>0</formula>
    </cfRule>
  </conditionalFormatting>
  <conditionalFormatting sqref="H235">
    <cfRule type="cellIs" dxfId="1826" priority="642" operator="equal">
      <formula>0</formula>
    </cfRule>
  </conditionalFormatting>
  <conditionalFormatting sqref="H235">
    <cfRule type="cellIs" dxfId="1825" priority="643" operator="equal">
      <formula>0</formula>
    </cfRule>
  </conditionalFormatting>
  <conditionalFormatting sqref="H235">
    <cfRule type="cellIs" dxfId="1824" priority="644" operator="equal">
      <formula>0</formula>
    </cfRule>
  </conditionalFormatting>
  <conditionalFormatting sqref="H235">
    <cfRule type="cellIs" dxfId="1823" priority="645" operator="equal">
      <formula>0</formula>
    </cfRule>
  </conditionalFormatting>
  <conditionalFormatting sqref="H235">
    <cfRule type="cellIs" dxfId="1822" priority="646" operator="equal">
      <formula>0</formula>
    </cfRule>
  </conditionalFormatting>
  <conditionalFormatting sqref="H235">
    <cfRule type="cellIs" dxfId="1821" priority="647" operator="equal">
      <formula>0</formula>
    </cfRule>
  </conditionalFormatting>
  <conditionalFormatting sqref="H235">
    <cfRule type="cellIs" dxfId="1820" priority="648" operator="equal">
      <formula>0</formula>
    </cfRule>
  </conditionalFormatting>
  <conditionalFormatting sqref="H235">
    <cfRule type="cellIs" dxfId="1819" priority="649" operator="equal">
      <formula>0</formula>
    </cfRule>
  </conditionalFormatting>
  <conditionalFormatting sqref="H235">
    <cfRule type="cellIs" dxfId="1818" priority="650" operator="equal">
      <formula>0</formula>
    </cfRule>
  </conditionalFormatting>
  <conditionalFormatting sqref="H235">
    <cfRule type="cellIs" dxfId="1817" priority="651" operator="equal">
      <formula>0</formula>
    </cfRule>
  </conditionalFormatting>
  <conditionalFormatting sqref="H235">
    <cfRule type="cellIs" dxfId="1816" priority="652" operator="equal">
      <formula>0</formula>
    </cfRule>
  </conditionalFormatting>
  <conditionalFormatting sqref="H235">
    <cfRule type="cellIs" dxfId="1815" priority="653" operator="equal">
      <formula>0</formula>
    </cfRule>
  </conditionalFormatting>
  <conditionalFormatting sqref="H235">
    <cfRule type="cellIs" dxfId="1814" priority="654" operator="equal">
      <formula>0</formula>
    </cfRule>
  </conditionalFormatting>
  <conditionalFormatting sqref="H235">
    <cfRule type="cellIs" dxfId="1813" priority="655" operator="equal">
      <formula>0</formula>
    </cfRule>
  </conditionalFormatting>
  <conditionalFormatting sqref="H235">
    <cfRule type="cellIs" dxfId="1812" priority="656" operator="equal">
      <formula>0</formula>
    </cfRule>
  </conditionalFormatting>
  <conditionalFormatting sqref="H235">
    <cfRule type="cellIs" dxfId="1811" priority="657" operator="equal">
      <formula>0</formula>
    </cfRule>
  </conditionalFormatting>
  <conditionalFormatting sqref="H235">
    <cfRule type="cellIs" dxfId="1810" priority="658" operator="equal">
      <formula>0</formula>
    </cfRule>
  </conditionalFormatting>
  <conditionalFormatting sqref="H279">
    <cfRule type="cellIs" dxfId="1809" priority="659" operator="equal">
      <formula>0</formula>
    </cfRule>
  </conditionalFormatting>
  <conditionalFormatting sqref="H279">
    <cfRule type="cellIs" dxfId="1808" priority="660" operator="equal">
      <formula>0</formula>
    </cfRule>
  </conditionalFormatting>
  <conditionalFormatting sqref="H279">
    <cfRule type="cellIs" dxfId="1807" priority="661" operator="equal">
      <formula>0</formula>
    </cfRule>
  </conditionalFormatting>
  <conditionalFormatting sqref="H279">
    <cfRule type="cellIs" dxfId="1806" priority="662" operator="equal">
      <formula>0</formula>
    </cfRule>
  </conditionalFormatting>
  <conditionalFormatting sqref="H279">
    <cfRule type="cellIs" dxfId="1805" priority="663" operator="equal">
      <formula>0</formula>
    </cfRule>
  </conditionalFormatting>
  <conditionalFormatting sqref="H279">
    <cfRule type="cellIs" dxfId="1804" priority="664" operator="equal">
      <formula>0</formula>
    </cfRule>
  </conditionalFormatting>
  <conditionalFormatting sqref="H279">
    <cfRule type="cellIs" dxfId="1803" priority="665" operator="equal">
      <formula>0</formula>
    </cfRule>
  </conditionalFormatting>
  <conditionalFormatting sqref="H279">
    <cfRule type="cellIs" dxfId="1802" priority="666" operator="equal">
      <formula>0</formula>
    </cfRule>
  </conditionalFormatting>
  <conditionalFormatting sqref="H279">
    <cfRule type="cellIs" dxfId="1801" priority="667" operator="equal">
      <formula>0</formula>
    </cfRule>
  </conditionalFormatting>
  <conditionalFormatting sqref="H279">
    <cfRule type="cellIs" dxfId="1800" priority="668" operator="equal">
      <formula>0</formula>
    </cfRule>
  </conditionalFormatting>
  <conditionalFormatting sqref="H279">
    <cfRule type="cellIs" dxfId="1799" priority="669" operator="equal">
      <formula>0</formula>
    </cfRule>
  </conditionalFormatting>
  <conditionalFormatting sqref="H279">
    <cfRule type="cellIs" dxfId="1798" priority="670" operator="equal">
      <formula>0</formula>
    </cfRule>
  </conditionalFormatting>
  <conditionalFormatting sqref="H279">
    <cfRule type="cellIs" dxfId="1797" priority="671" operator="equal">
      <formula>0</formula>
    </cfRule>
  </conditionalFormatting>
  <conditionalFormatting sqref="H279">
    <cfRule type="cellIs" dxfId="1796" priority="672" operator="equal">
      <formula>0</formula>
    </cfRule>
  </conditionalFormatting>
  <conditionalFormatting sqref="H279">
    <cfRule type="cellIs" dxfId="1795" priority="673" operator="equal">
      <formula>0</formula>
    </cfRule>
  </conditionalFormatting>
  <conditionalFormatting sqref="H279">
    <cfRule type="cellIs" dxfId="1794" priority="674" operator="equal">
      <formula>0</formula>
    </cfRule>
  </conditionalFormatting>
  <conditionalFormatting sqref="H279">
    <cfRule type="cellIs" dxfId="1793" priority="675" operator="equal">
      <formula>0</formula>
    </cfRule>
  </conditionalFormatting>
  <conditionalFormatting sqref="H279">
    <cfRule type="cellIs" dxfId="1792" priority="676" operator="equal">
      <formula>0</formula>
    </cfRule>
  </conditionalFormatting>
  <conditionalFormatting sqref="H279">
    <cfRule type="cellIs" dxfId="1791" priority="677" operator="equal">
      <formula>0</formula>
    </cfRule>
  </conditionalFormatting>
  <conditionalFormatting sqref="H279">
    <cfRule type="cellIs" dxfId="1790" priority="678" operator="equal">
      <formula>0</formula>
    </cfRule>
  </conditionalFormatting>
  <conditionalFormatting sqref="H279">
    <cfRule type="cellIs" dxfId="1789" priority="679" operator="equal">
      <formula>0</formula>
    </cfRule>
  </conditionalFormatting>
  <conditionalFormatting sqref="H279">
    <cfRule type="cellIs" dxfId="1788" priority="680" operator="equal">
      <formula>0</formula>
    </cfRule>
  </conditionalFormatting>
  <conditionalFormatting sqref="H279">
    <cfRule type="cellIs" dxfId="1787" priority="681" operator="equal">
      <formula>0</formula>
    </cfRule>
  </conditionalFormatting>
  <conditionalFormatting sqref="H279">
    <cfRule type="cellIs" dxfId="1786" priority="682" operator="equal">
      <formula>0</formula>
    </cfRule>
  </conditionalFormatting>
  <conditionalFormatting sqref="H279">
    <cfRule type="cellIs" dxfId="1785" priority="683" operator="equal">
      <formula>0</formula>
    </cfRule>
  </conditionalFormatting>
  <conditionalFormatting sqref="H279">
    <cfRule type="cellIs" dxfId="1784" priority="684" operator="equal">
      <formula>0</formula>
    </cfRule>
  </conditionalFormatting>
  <conditionalFormatting sqref="H279">
    <cfRule type="cellIs" dxfId="1783" priority="685" operator="equal">
      <formula>0</formula>
    </cfRule>
  </conditionalFormatting>
  <conditionalFormatting sqref="H279">
    <cfRule type="cellIs" dxfId="1782" priority="686" operator="equal">
      <formula>0</formula>
    </cfRule>
  </conditionalFormatting>
  <conditionalFormatting sqref="H279">
    <cfRule type="cellIs" dxfId="1781" priority="687" operator="equal">
      <formula>0</formula>
    </cfRule>
  </conditionalFormatting>
  <conditionalFormatting sqref="H279">
    <cfRule type="cellIs" dxfId="1780" priority="688" operator="equal">
      <formula>0</formula>
    </cfRule>
  </conditionalFormatting>
  <conditionalFormatting sqref="H279">
    <cfRule type="cellIs" dxfId="1779" priority="689" operator="equal">
      <formula>0</formula>
    </cfRule>
  </conditionalFormatting>
  <conditionalFormatting sqref="H279">
    <cfRule type="cellIs" dxfId="1778" priority="690" operator="equal">
      <formula>0</formula>
    </cfRule>
  </conditionalFormatting>
  <conditionalFormatting sqref="H279">
    <cfRule type="cellIs" dxfId="1777" priority="691" operator="equal">
      <formula>0</formula>
    </cfRule>
  </conditionalFormatting>
  <conditionalFormatting sqref="H279">
    <cfRule type="cellIs" dxfId="1776" priority="692" operator="equal">
      <formula>0</formula>
    </cfRule>
  </conditionalFormatting>
  <conditionalFormatting sqref="H279">
    <cfRule type="cellIs" dxfId="1775" priority="693" operator="equal">
      <formula>0</formula>
    </cfRule>
  </conditionalFormatting>
  <conditionalFormatting sqref="H279">
    <cfRule type="cellIs" dxfId="1774" priority="694" operator="equal">
      <formula>0</formula>
    </cfRule>
  </conditionalFormatting>
  <conditionalFormatting sqref="H279">
    <cfRule type="cellIs" dxfId="1773" priority="695" operator="equal">
      <formula>0</formula>
    </cfRule>
  </conditionalFormatting>
  <conditionalFormatting sqref="H279">
    <cfRule type="cellIs" dxfId="1772" priority="696" operator="equal">
      <formula>0</formula>
    </cfRule>
  </conditionalFormatting>
  <conditionalFormatting sqref="H279">
    <cfRule type="cellIs" dxfId="1771" priority="697" operator="equal">
      <formula>0</formula>
    </cfRule>
  </conditionalFormatting>
  <conditionalFormatting sqref="H279">
    <cfRule type="cellIs" dxfId="1770" priority="698" operator="equal">
      <formula>0</formula>
    </cfRule>
  </conditionalFormatting>
  <conditionalFormatting sqref="H279">
    <cfRule type="cellIs" dxfId="1769" priority="699" operator="equal">
      <formula>0</formula>
    </cfRule>
  </conditionalFormatting>
  <conditionalFormatting sqref="H279">
    <cfRule type="cellIs" dxfId="1768" priority="700" operator="equal">
      <formula>0</formula>
    </cfRule>
  </conditionalFormatting>
  <conditionalFormatting sqref="H279">
    <cfRule type="cellIs" dxfId="1767" priority="701" operator="equal">
      <formula>0</formula>
    </cfRule>
  </conditionalFormatting>
  <conditionalFormatting sqref="H279">
    <cfRule type="cellIs" dxfId="1766" priority="702" operator="equal">
      <formula>0</formula>
    </cfRule>
  </conditionalFormatting>
  <conditionalFormatting sqref="H279">
    <cfRule type="cellIs" dxfId="1765" priority="703" operator="equal">
      <formula>0</formula>
    </cfRule>
  </conditionalFormatting>
  <conditionalFormatting sqref="H279">
    <cfRule type="cellIs" dxfId="1764" priority="704" operator="equal">
      <formula>0</formula>
    </cfRule>
  </conditionalFormatting>
  <conditionalFormatting sqref="H279">
    <cfRule type="cellIs" dxfId="1763" priority="705" operator="equal">
      <formula>0</formula>
    </cfRule>
  </conditionalFormatting>
  <conditionalFormatting sqref="H279">
    <cfRule type="cellIs" dxfId="1762" priority="706" operator="equal">
      <formula>0</formula>
    </cfRule>
  </conditionalFormatting>
  <conditionalFormatting sqref="H279">
    <cfRule type="cellIs" dxfId="1761" priority="707" operator="equal">
      <formula>0</formula>
    </cfRule>
  </conditionalFormatting>
  <conditionalFormatting sqref="H279">
    <cfRule type="cellIs" dxfId="1760" priority="708" operator="equal">
      <formula>0</formula>
    </cfRule>
  </conditionalFormatting>
  <conditionalFormatting sqref="H279">
    <cfRule type="cellIs" dxfId="1759" priority="709" operator="equal">
      <formula>0</formula>
    </cfRule>
  </conditionalFormatting>
  <conditionalFormatting sqref="H279">
    <cfRule type="cellIs" dxfId="1758" priority="710" operator="equal">
      <formula>0</formula>
    </cfRule>
  </conditionalFormatting>
  <conditionalFormatting sqref="H279">
    <cfRule type="cellIs" dxfId="1757" priority="711" operator="equal">
      <formula>0</formula>
    </cfRule>
  </conditionalFormatting>
  <conditionalFormatting sqref="H279">
    <cfRule type="cellIs" dxfId="1756" priority="712" operator="equal">
      <formula>0</formula>
    </cfRule>
  </conditionalFormatting>
  <conditionalFormatting sqref="H279">
    <cfRule type="cellIs" dxfId="1755" priority="713" operator="equal">
      <formula>0</formula>
    </cfRule>
  </conditionalFormatting>
  <conditionalFormatting sqref="H279">
    <cfRule type="cellIs" dxfId="1754" priority="714" operator="equal">
      <formula>0</formula>
    </cfRule>
  </conditionalFormatting>
  <conditionalFormatting sqref="H279">
    <cfRule type="cellIs" dxfId="1753" priority="715" operator="equal">
      <formula>0</formula>
    </cfRule>
  </conditionalFormatting>
  <conditionalFormatting sqref="H279">
    <cfRule type="cellIs" dxfId="1752" priority="716" operator="equal">
      <formula>0</formula>
    </cfRule>
  </conditionalFormatting>
  <conditionalFormatting sqref="H279">
    <cfRule type="cellIs" dxfId="1751" priority="717" operator="equal">
      <formula>0</formula>
    </cfRule>
  </conditionalFormatting>
  <conditionalFormatting sqref="H279">
    <cfRule type="cellIs" dxfId="1750" priority="718" operator="equal">
      <formula>0</formula>
    </cfRule>
  </conditionalFormatting>
  <conditionalFormatting sqref="H279">
    <cfRule type="cellIs" dxfId="1749" priority="719" operator="equal">
      <formula>0</formula>
    </cfRule>
  </conditionalFormatting>
  <conditionalFormatting sqref="H279">
    <cfRule type="cellIs" dxfId="1748" priority="720" operator="equal">
      <formula>0</formula>
    </cfRule>
  </conditionalFormatting>
  <conditionalFormatting sqref="H279">
    <cfRule type="cellIs" dxfId="1747" priority="721" operator="equal">
      <formula>0</formula>
    </cfRule>
  </conditionalFormatting>
  <conditionalFormatting sqref="H279">
    <cfRule type="cellIs" dxfId="1746" priority="722" operator="equal">
      <formula>0</formula>
    </cfRule>
  </conditionalFormatting>
  <conditionalFormatting sqref="H279">
    <cfRule type="cellIs" dxfId="1745" priority="723" operator="equal">
      <formula>0</formula>
    </cfRule>
  </conditionalFormatting>
  <conditionalFormatting sqref="H279">
    <cfRule type="cellIs" dxfId="1744" priority="724" operator="equal">
      <formula>0</formula>
    </cfRule>
  </conditionalFormatting>
  <conditionalFormatting sqref="H279">
    <cfRule type="cellIs" dxfId="1743" priority="725" operator="equal">
      <formula>0</formula>
    </cfRule>
  </conditionalFormatting>
  <conditionalFormatting sqref="H323">
    <cfRule type="cellIs" dxfId="1742" priority="726" operator="equal">
      <formula>0</formula>
    </cfRule>
  </conditionalFormatting>
  <conditionalFormatting sqref="H323">
    <cfRule type="cellIs" dxfId="1741" priority="727" operator="equal">
      <formula>0</formula>
    </cfRule>
  </conditionalFormatting>
  <conditionalFormatting sqref="H323">
    <cfRule type="cellIs" dxfId="1740" priority="728" operator="equal">
      <formula>0</formula>
    </cfRule>
  </conditionalFormatting>
  <conditionalFormatting sqref="H323">
    <cfRule type="cellIs" dxfId="1739" priority="729" operator="equal">
      <formula>0</formula>
    </cfRule>
  </conditionalFormatting>
  <conditionalFormatting sqref="H323">
    <cfRule type="cellIs" dxfId="1738" priority="730" operator="equal">
      <formula>0</formula>
    </cfRule>
  </conditionalFormatting>
  <conditionalFormatting sqref="H323">
    <cfRule type="cellIs" dxfId="1737" priority="731" operator="equal">
      <formula>0</formula>
    </cfRule>
  </conditionalFormatting>
  <conditionalFormatting sqref="H323">
    <cfRule type="cellIs" dxfId="1736" priority="732" operator="equal">
      <formula>0</formula>
    </cfRule>
  </conditionalFormatting>
  <conditionalFormatting sqref="H323">
    <cfRule type="cellIs" dxfId="1735" priority="733" operator="equal">
      <formula>0</formula>
    </cfRule>
  </conditionalFormatting>
  <conditionalFormatting sqref="H323">
    <cfRule type="cellIs" dxfId="1734" priority="734" operator="equal">
      <formula>0</formula>
    </cfRule>
  </conditionalFormatting>
  <conditionalFormatting sqref="H323">
    <cfRule type="cellIs" dxfId="1733" priority="735" operator="equal">
      <formula>0</formula>
    </cfRule>
  </conditionalFormatting>
  <conditionalFormatting sqref="H323">
    <cfRule type="cellIs" dxfId="1732" priority="736" operator="equal">
      <formula>0</formula>
    </cfRule>
  </conditionalFormatting>
  <conditionalFormatting sqref="H323">
    <cfRule type="cellIs" dxfId="1731" priority="737" operator="equal">
      <formula>0</formula>
    </cfRule>
  </conditionalFormatting>
  <conditionalFormatting sqref="H323">
    <cfRule type="cellIs" dxfId="1730" priority="738" operator="equal">
      <formula>0</formula>
    </cfRule>
  </conditionalFormatting>
  <conditionalFormatting sqref="H323">
    <cfRule type="cellIs" dxfId="1729" priority="739" operator="equal">
      <formula>0</formula>
    </cfRule>
  </conditionalFormatting>
  <conditionalFormatting sqref="H323">
    <cfRule type="cellIs" dxfId="1728" priority="740" operator="equal">
      <formula>0</formula>
    </cfRule>
  </conditionalFormatting>
  <conditionalFormatting sqref="H323">
    <cfRule type="cellIs" dxfId="1727" priority="741" operator="equal">
      <formula>0</formula>
    </cfRule>
  </conditionalFormatting>
  <conditionalFormatting sqref="H323">
    <cfRule type="cellIs" dxfId="1726" priority="742" operator="equal">
      <formula>0</formula>
    </cfRule>
  </conditionalFormatting>
  <conditionalFormatting sqref="H323">
    <cfRule type="cellIs" dxfId="1725" priority="743" operator="equal">
      <formula>0</formula>
    </cfRule>
  </conditionalFormatting>
  <conditionalFormatting sqref="H323">
    <cfRule type="cellIs" dxfId="1724" priority="744" operator="equal">
      <formula>0</formula>
    </cfRule>
  </conditionalFormatting>
  <conditionalFormatting sqref="H323">
    <cfRule type="cellIs" dxfId="1723" priority="745" operator="equal">
      <formula>0</formula>
    </cfRule>
  </conditionalFormatting>
  <conditionalFormatting sqref="H323">
    <cfRule type="cellIs" dxfId="1722" priority="746" operator="equal">
      <formula>0</formula>
    </cfRule>
  </conditionalFormatting>
  <conditionalFormatting sqref="H323">
    <cfRule type="cellIs" dxfId="1721" priority="747" operator="equal">
      <formula>0</formula>
    </cfRule>
  </conditionalFormatting>
  <conditionalFormatting sqref="H323">
    <cfRule type="cellIs" dxfId="1720" priority="748" operator="equal">
      <formula>0</formula>
    </cfRule>
  </conditionalFormatting>
  <conditionalFormatting sqref="H323">
    <cfRule type="cellIs" dxfId="1719" priority="749" operator="equal">
      <formula>0</formula>
    </cfRule>
  </conditionalFormatting>
  <conditionalFormatting sqref="H323">
    <cfRule type="cellIs" dxfId="1718" priority="750" operator="equal">
      <formula>0</formula>
    </cfRule>
  </conditionalFormatting>
  <conditionalFormatting sqref="H323">
    <cfRule type="cellIs" dxfId="1717" priority="751" operator="equal">
      <formula>0</formula>
    </cfRule>
  </conditionalFormatting>
  <conditionalFormatting sqref="H323">
    <cfRule type="cellIs" dxfId="1716" priority="752" operator="equal">
      <formula>0</formula>
    </cfRule>
  </conditionalFormatting>
  <conditionalFormatting sqref="H323">
    <cfRule type="cellIs" dxfId="1715" priority="753" operator="equal">
      <formula>0</formula>
    </cfRule>
  </conditionalFormatting>
  <conditionalFormatting sqref="H323">
    <cfRule type="cellIs" dxfId="1714" priority="754" operator="equal">
      <formula>0</formula>
    </cfRule>
  </conditionalFormatting>
  <conditionalFormatting sqref="H323">
    <cfRule type="cellIs" dxfId="1713" priority="755" operator="equal">
      <formula>0</formula>
    </cfRule>
  </conditionalFormatting>
  <conditionalFormatting sqref="H323">
    <cfRule type="cellIs" dxfId="1712" priority="756" operator="equal">
      <formula>0</formula>
    </cfRule>
  </conditionalFormatting>
  <conditionalFormatting sqref="H323">
    <cfRule type="cellIs" dxfId="1711" priority="757" operator="equal">
      <formula>0</formula>
    </cfRule>
  </conditionalFormatting>
  <conditionalFormatting sqref="H323">
    <cfRule type="cellIs" dxfId="1710" priority="758" operator="equal">
      <formula>0</formula>
    </cfRule>
  </conditionalFormatting>
  <conditionalFormatting sqref="H323">
    <cfRule type="cellIs" dxfId="1709" priority="759" operator="equal">
      <formula>0</formula>
    </cfRule>
  </conditionalFormatting>
  <conditionalFormatting sqref="H323">
    <cfRule type="cellIs" dxfId="1708" priority="760" operator="equal">
      <formula>0</formula>
    </cfRule>
  </conditionalFormatting>
  <conditionalFormatting sqref="H323">
    <cfRule type="cellIs" dxfId="1707" priority="761" operator="equal">
      <formula>0</formula>
    </cfRule>
  </conditionalFormatting>
  <conditionalFormatting sqref="H323">
    <cfRule type="cellIs" dxfId="1706" priority="762" operator="equal">
      <formula>0</formula>
    </cfRule>
  </conditionalFormatting>
  <conditionalFormatting sqref="H323">
    <cfRule type="cellIs" dxfId="1705" priority="763" operator="equal">
      <formula>0</formula>
    </cfRule>
  </conditionalFormatting>
  <conditionalFormatting sqref="H323">
    <cfRule type="cellIs" dxfId="1704" priority="764" operator="equal">
      <formula>0</formula>
    </cfRule>
  </conditionalFormatting>
  <conditionalFormatting sqref="H323">
    <cfRule type="cellIs" dxfId="1703" priority="765" operator="equal">
      <formula>0</formula>
    </cfRule>
  </conditionalFormatting>
  <conditionalFormatting sqref="H323">
    <cfRule type="cellIs" dxfId="1702" priority="766" operator="equal">
      <formula>0</formula>
    </cfRule>
  </conditionalFormatting>
  <conditionalFormatting sqref="H323">
    <cfRule type="cellIs" dxfId="1701" priority="767" operator="equal">
      <formula>0</formula>
    </cfRule>
  </conditionalFormatting>
  <conditionalFormatting sqref="H323">
    <cfRule type="cellIs" dxfId="1700" priority="768" operator="equal">
      <formula>0</formula>
    </cfRule>
  </conditionalFormatting>
  <conditionalFormatting sqref="H323">
    <cfRule type="cellIs" dxfId="1699" priority="769" operator="equal">
      <formula>0</formula>
    </cfRule>
  </conditionalFormatting>
  <conditionalFormatting sqref="H323">
    <cfRule type="cellIs" dxfId="1698" priority="770" operator="equal">
      <formula>0</formula>
    </cfRule>
  </conditionalFormatting>
  <conditionalFormatting sqref="H323">
    <cfRule type="cellIs" dxfId="1697" priority="771" operator="equal">
      <formula>0</formula>
    </cfRule>
  </conditionalFormatting>
  <conditionalFormatting sqref="H323">
    <cfRule type="cellIs" dxfId="1696" priority="772" operator="equal">
      <formula>0</formula>
    </cfRule>
  </conditionalFormatting>
  <conditionalFormatting sqref="H323">
    <cfRule type="cellIs" dxfId="1695" priority="773" operator="equal">
      <formula>0</formula>
    </cfRule>
  </conditionalFormatting>
  <conditionalFormatting sqref="H323">
    <cfRule type="cellIs" dxfId="1694" priority="774" operator="equal">
      <formula>0</formula>
    </cfRule>
  </conditionalFormatting>
  <conditionalFormatting sqref="H323">
    <cfRule type="cellIs" dxfId="1693" priority="775" operator="equal">
      <formula>0</formula>
    </cfRule>
  </conditionalFormatting>
  <conditionalFormatting sqref="H323">
    <cfRule type="cellIs" dxfId="1692" priority="776" operator="equal">
      <formula>0</formula>
    </cfRule>
  </conditionalFormatting>
  <conditionalFormatting sqref="H323">
    <cfRule type="cellIs" dxfId="1691" priority="777" operator="equal">
      <formula>0</formula>
    </cfRule>
  </conditionalFormatting>
  <conditionalFormatting sqref="H323">
    <cfRule type="cellIs" dxfId="1690" priority="778" operator="equal">
      <formula>0</formula>
    </cfRule>
  </conditionalFormatting>
  <conditionalFormatting sqref="H323">
    <cfRule type="cellIs" dxfId="1689" priority="779" operator="equal">
      <formula>0</formula>
    </cfRule>
  </conditionalFormatting>
  <conditionalFormatting sqref="H323">
    <cfRule type="cellIs" dxfId="1688" priority="780" operator="equal">
      <formula>0</formula>
    </cfRule>
  </conditionalFormatting>
  <conditionalFormatting sqref="H323">
    <cfRule type="cellIs" dxfId="1687" priority="781" operator="equal">
      <formula>0</formula>
    </cfRule>
  </conditionalFormatting>
  <conditionalFormatting sqref="H323">
    <cfRule type="cellIs" dxfId="1686" priority="782" operator="equal">
      <formula>0</formula>
    </cfRule>
  </conditionalFormatting>
  <conditionalFormatting sqref="H323">
    <cfRule type="cellIs" dxfId="1685" priority="783" operator="equal">
      <formula>0</formula>
    </cfRule>
  </conditionalFormatting>
  <conditionalFormatting sqref="H323">
    <cfRule type="cellIs" dxfId="1684" priority="784" operator="equal">
      <formula>0</formula>
    </cfRule>
  </conditionalFormatting>
  <conditionalFormatting sqref="H323">
    <cfRule type="cellIs" dxfId="1683" priority="785" operator="equal">
      <formula>0</formula>
    </cfRule>
  </conditionalFormatting>
  <conditionalFormatting sqref="H323">
    <cfRule type="cellIs" dxfId="1682" priority="786" operator="equal">
      <formula>0</formula>
    </cfRule>
  </conditionalFormatting>
  <conditionalFormatting sqref="H323">
    <cfRule type="cellIs" dxfId="1681" priority="787" operator="equal">
      <formula>0</formula>
    </cfRule>
  </conditionalFormatting>
  <conditionalFormatting sqref="H323">
    <cfRule type="cellIs" dxfId="1680" priority="788" operator="equal">
      <formula>0</formula>
    </cfRule>
  </conditionalFormatting>
  <conditionalFormatting sqref="H323">
    <cfRule type="cellIs" dxfId="1679" priority="789" operator="equal">
      <formula>0</formula>
    </cfRule>
  </conditionalFormatting>
  <conditionalFormatting sqref="H323">
    <cfRule type="cellIs" dxfId="1678" priority="790" operator="equal">
      <formula>0</formula>
    </cfRule>
  </conditionalFormatting>
  <conditionalFormatting sqref="H323">
    <cfRule type="cellIs" dxfId="1677" priority="791" operator="equal">
      <formula>0</formula>
    </cfRule>
  </conditionalFormatting>
  <conditionalFormatting sqref="H323">
    <cfRule type="cellIs" dxfId="1676" priority="792" operator="equal">
      <formula>0</formula>
    </cfRule>
  </conditionalFormatting>
  <conditionalFormatting sqref="H367">
    <cfRule type="cellIs" dxfId="1675" priority="793" operator="equal">
      <formula>0</formula>
    </cfRule>
  </conditionalFormatting>
  <conditionalFormatting sqref="H367">
    <cfRule type="cellIs" dxfId="1674" priority="794" operator="equal">
      <formula>0</formula>
    </cfRule>
  </conditionalFormatting>
  <conditionalFormatting sqref="H367">
    <cfRule type="cellIs" dxfId="1673" priority="795" operator="equal">
      <formula>0</formula>
    </cfRule>
  </conditionalFormatting>
  <conditionalFormatting sqref="H367">
    <cfRule type="cellIs" dxfId="1672" priority="796" operator="equal">
      <formula>0</formula>
    </cfRule>
  </conditionalFormatting>
  <conditionalFormatting sqref="H367">
    <cfRule type="cellIs" dxfId="1671" priority="797" operator="equal">
      <formula>0</formula>
    </cfRule>
  </conditionalFormatting>
  <conditionalFormatting sqref="H367">
    <cfRule type="cellIs" dxfId="1670" priority="798" operator="equal">
      <formula>0</formula>
    </cfRule>
  </conditionalFormatting>
  <conditionalFormatting sqref="H367">
    <cfRule type="cellIs" dxfId="1669" priority="799" operator="equal">
      <formula>0</formula>
    </cfRule>
  </conditionalFormatting>
  <conditionalFormatting sqref="H367">
    <cfRule type="cellIs" dxfId="1668" priority="800" operator="equal">
      <formula>0</formula>
    </cfRule>
  </conditionalFormatting>
  <conditionalFormatting sqref="H367">
    <cfRule type="cellIs" dxfId="1667" priority="801" operator="equal">
      <formula>0</formula>
    </cfRule>
  </conditionalFormatting>
  <conditionalFormatting sqref="H367">
    <cfRule type="cellIs" dxfId="1666" priority="802" operator="equal">
      <formula>0</formula>
    </cfRule>
  </conditionalFormatting>
  <conditionalFormatting sqref="H367">
    <cfRule type="cellIs" dxfId="1665" priority="803" operator="equal">
      <formula>0</formula>
    </cfRule>
  </conditionalFormatting>
  <conditionalFormatting sqref="H367">
    <cfRule type="cellIs" dxfId="1664" priority="804" operator="equal">
      <formula>0</formula>
    </cfRule>
  </conditionalFormatting>
  <conditionalFormatting sqref="H367">
    <cfRule type="cellIs" dxfId="1663" priority="805" operator="equal">
      <formula>0</formula>
    </cfRule>
  </conditionalFormatting>
  <conditionalFormatting sqref="H367">
    <cfRule type="cellIs" dxfId="1662" priority="806" operator="equal">
      <formula>0</formula>
    </cfRule>
  </conditionalFormatting>
  <conditionalFormatting sqref="H367">
    <cfRule type="cellIs" dxfId="1661" priority="807" operator="equal">
      <formula>0</formula>
    </cfRule>
  </conditionalFormatting>
  <conditionalFormatting sqref="H367">
    <cfRule type="cellIs" dxfId="1660" priority="808" operator="equal">
      <formula>0</formula>
    </cfRule>
  </conditionalFormatting>
  <conditionalFormatting sqref="H367">
    <cfRule type="cellIs" dxfId="1659" priority="809" operator="equal">
      <formula>0</formula>
    </cfRule>
  </conditionalFormatting>
  <conditionalFormatting sqref="H367">
    <cfRule type="cellIs" dxfId="1658" priority="810" operator="equal">
      <formula>0</formula>
    </cfRule>
  </conditionalFormatting>
  <conditionalFormatting sqref="H367">
    <cfRule type="cellIs" dxfId="1657" priority="811" operator="equal">
      <formula>0</formula>
    </cfRule>
  </conditionalFormatting>
  <conditionalFormatting sqref="H367">
    <cfRule type="cellIs" dxfId="1656" priority="812" operator="equal">
      <formula>0</formula>
    </cfRule>
  </conditionalFormatting>
  <conditionalFormatting sqref="H367">
    <cfRule type="cellIs" dxfId="1655" priority="813" operator="equal">
      <formula>0</formula>
    </cfRule>
  </conditionalFormatting>
  <conditionalFormatting sqref="H367">
    <cfRule type="cellIs" dxfId="1654" priority="814" operator="equal">
      <formula>0</formula>
    </cfRule>
  </conditionalFormatting>
  <conditionalFormatting sqref="H367">
    <cfRule type="cellIs" dxfId="1653" priority="815" operator="equal">
      <formula>0</formula>
    </cfRule>
  </conditionalFormatting>
  <conditionalFormatting sqref="H367">
    <cfRule type="cellIs" dxfId="1652" priority="816" operator="equal">
      <formula>0</formula>
    </cfRule>
  </conditionalFormatting>
  <conditionalFormatting sqref="H367">
    <cfRule type="cellIs" dxfId="1651" priority="817" operator="equal">
      <formula>0</formula>
    </cfRule>
  </conditionalFormatting>
  <conditionalFormatting sqref="H367">
    <cfRule type="cellIs" dxfId="1650" priority="818" operator="equal">
      <formula>0</formula>
    </cfRule>
  </conditionalFormatting>
  <conditionalFormatting sqref="H367">
    <cfRule type="cellIs" dxfId="1649" priority="819" operator="equal">
      <formula>0</formula>
    </cfRule>
  </conditionalFormatting>
  <conditionalFormatting sqref="H367">
    <cfRule type="cellIs" dxfId="1648" priority="820" operator="equal">
      <formula>0</formula>
    </cfRule>
  </conditionalFormatting>
  <conditionalFormatting sqref="H367">
    <cfRule type="cellIs" dxfId="1647" priority="821" operator="equal">
      <formula>0</formula>
    </cfRule>
  </conditionalFormatting>
  <conditionalFormatting sqref="H367">
    <cfRule type="cellIs" dxfId="1646" priority="822" operator="equal">
      <formula>0</formula>
    </cfRule>
  </conditionalFormatting>
  <conditionalFormatting sqref="H367">
    <cfRule type="cellIs" dxfId="1645" priority="823" operator="equal">
      <formula>0</formula>
    </cfRule>
  </conditionalFormatting>
  <conditionalFormatting sqref="H367">
    <cfRule type="cellIs" dxfId="1644" priority="824" operator="equal">
      <formula>0</formula>
    </cfRule>
  </conditionalFormatting>
  <conditionalFormatting sqref="H367">
    <cfRule type="cellIs" dxfId="1643" priority="825" operator="equal">
      <formula>0</formula>
    </cfRule>
  </conditionalFormatting>
  <conditionalFormatting sqref="H367">
    <cfRule type="cellIs" dxfId="1642" priority="826" operator="equal">
      <formula>0</formula>
    </cfRule>
  </conditionalFormatting>
  <conditionalFormatting sqref="H367">
    <cfRule type="cellIs" dxfId="1641" priority="827" operator="equal">
      <formula>0</formula>
    </cfRule>
  </conditionalFormatting>
  <conditionalFormatting sqref="H367">
    <cfRule type="cellIs" dxfId="1640" priority="828" operator="equal">
      <formula>0</formula>
    </cfRule>
  </conditionalFormatting>
  <conditionalFormatting sqref="H367">
    <cfRule type="cellIs" dxfId="1639" priority="829" operator="equal">
      <formula>0</formula>
    </cfRule>
  </conditionalFormatting>
  <conditionalFormatting sqref="H367">
    <cfRule type="cellIs" dxfId="1638" priority="830" operator="equal">
      <formula>0</formula>
    </cfRule>
  </conditionalFormatting>
  <conditionalFormatting sqref="H367">
    <cfRule type="cellIs" dxfId="1637" priority="831" operator="equal">
      <formula>0</formula>
    </cfRule>
  </conditionalFormatting>
  <conditionalFormatting sqref="H367">
    <cfRule type="cellIs" dxfId="1636" priority="832" operator="equal">
      <formula>0</formula>
    </cfRule>
  </conditionalFormatting>
  <conditionalFormatting sqref="H367">
    <cfRule type="cellIs" dxfId="1635" priority="833" operator="equal">
      <formula>0</formula>
    </cfRule>
  </conditionalFormatting>
  <conditionalFormatting sqref="H367">
    <cfRule type="cellIs" dxfId="1634" priority="834" operator="equal">
      <formula>0</formula>
    </cfRule>
  </conditionalFormatting>
  <conditionalFormatting sqref="H367">
    <cfRule type="cellIs" dxfId="1633" priority="835" operator="equal">
      <formula>0</formula>
    </cfRule>
  </conditionalFormatting>
  <conditionalFormatting sqref="H367">
    <cfRule type="cellIs" dxfId="1632" priority="836" operator="equal">
      <formula>0</formula>
    </cfRule>
  </conditionalFormatting>
  <conditionalFormatting sqref="H367">
    <cfRule type="cellIs" dxfId="1631" priority="837" operator="equal">
      <formula>0</formula>
    </cfRule>
  </conditionalFormatting>
  <conditionalFormatting sqref="H367">
    <cfRule type="cellIs" dxfId="1630" priority="838" operator="equal">
      <formula>0</formula>
    </cfRule>
  </conditionalFormatting>
  <conditionalFormatting sqref="H367">
    <cfRule type="cellIs" dxfId="1629" priority="839" operator="equal">
      <formula>0</formula>
    </cfRule>
  </conditionalFormatting>
  <conditionalFormatting sqref="H367">
    <cfRule type="cellIs" dxfId="1628" priority="840" operator="equal">
      <formula>0</formula>
    </cfRule>
  </conditionalFormatting>
  <conditionalFormatting sqref="H367">
    <cfRule type="cellIs" dxfId="1627" priority="841" operator="equal">
      <formula>0</formula>
    </cfRule>
  </conditionalFormatting>
  <conditionalFormatting sqref="H367">
    <cfRule type="cellIs" dxfId="1626" priority="842" operator="equal">
      <formula>0</formula>
    </cfRule>
  </conditionalFormatting>
  <conditionalFormatting sqref="H367">
    <cfRule type="cellIs" dxfId="1625" priority="843" operator="equal">
      <formula>0</formula>
    </cfRule>
  </conditionalFormatting>
  <conditionalFormatting sqref="H367">
    <cfRule type="cellIs" dxfId="1624" priority="844" operator="equal">
      <formula>0</formula>
    </cfRule>
  </conditionalFormatting>
  <conditionalFormatting sqref="H367">
    <cfRule type="cellIs" dxfId="1623" priority="845" operator="equal">
      <formula>0</formula>
    </cfRule>
  </conditionalFormatting>
  <conditionalFormatting sqref="H367">
    <cfRule type="cellIs" dxfId="1622" priority="846" operator="equal">
      <formula>0</formula>
    </cfRule>
  </conditionalFormatting>
  <conditionalFormatting sqref="H367">
    <cfRule type="cellIs" dxfId="1621" priority="847" operator="equal">
      <formula>0</formula>
    </cfRule>
  </conditionalFormatting>
  <conditionalFormatting sqref="H367">
    <cfRule type="cellIs" dxfId="1620" priority="848" operator="equal">
      <formula>0</formula>
    </cfRule>
  </conditionalFormatting>
  <conditionalFormatting sqref="H367">
    <cfRule type="cellIs" dxfId="1619" priority="849" operator="equal">
      <formula>0</formula>
    </cfRule>
  </conditionalFormatting>
  <conditionalFormatting sqref="H367">
    <cfRule type="cellIs" dxfId="1618" priority="850" operator="equal">
      <formula>0</formula>
    </cfRule>
  </conditionalFormatting>
  <conditionalFormatting sqref="H367">
    <cfRule type="cellIs" dxfId="1617" priority="851" operator="equal">
      <formula>0</formula>
    </cfRule>
  </conditionalFormatting>
  <conditionalFormatting sqref="H367">
    <cfRule type="cellIs" dxfId="1616" priority="852" operator="equal">
      <formula>0</formula>
    </cfRule>
  </conditionalFormatting>
  <conditionalFormatting sqref="H367">
    <cfRule type="cellIs" dxfId="1615" priority="853" operator="equal">
      <formula>0</formula>
    </cfRule>
  </conditionalFormatting>
  <conditionalFormatting sqref="H367">
    <cfRule type="cellIs" dxfId="1614" priority="854" operator="equal">
      <formula>0</formula>
    </cfRule>
  </conditionalFormatting>
  <conditionalFormatting sqref="H367">
    <cfRule type="cellIs" dxfId="1613" priority="855" operator="equal">
      <formula>0</formula>
    </cfRule>
  </conditionalFormatting>
  <conditionalFormatting sqref="H367">
    <cfRule type="cellIs" dxfId="1612" priority="856" operator="equal">
      <formula>0</formula>
    </cfRule>
  </conditionalFormatting>
  <conditionalFormatting sqref="H367">
    <cfRule type="cellIs" dxfId="1611" priority="857" operator="equal">
      <formula>0</formula>
    </cfRule>
  </conditionalFormatting>
  <conditionalFormatting sqref="H367">
    <cfRule type="cellIs" dxfId="1610" priority="858" operator="equal">
      <formula>0</formula>
    </cfRule>
  </conditionalFormatting>
  <conditionalFormatting sqref="H367">
    <cfRule type="cellIs" dxfId="1609" priority="859" operator="equal">
      <formula>0</formula>
    </cfRule>
  </conditionalFormatting>
  <conditionalFormatting sqref="H411">
    <cfRule type="cellIs" dxfId="1608" priority="860" operator="equal">
      <formula>0</formula>
    </cfRule>
  </conditionalFormatting>
  <conditionalFormatting sqref="H411">
    <cfRule type="cellIs" dxfId="1607" priority="861" operator="equal">
      <formula>0</formula>
    </cfRule>
  </conditionalFormatting>
  <conditionalFormatting sqref="H411">
    <cfRule type="cellIs" dxfId="1606" priority="862" operator="equal">
      <formula>0</formula>
    </cfRule>
  </conditionalFormatting>
  <conditionalFormatting sqref="H411">
    <cfRule type="cellIs" dxfId="1605" priority="863" operator="equal">
      <formula>0</formula>
    </cfRule>
  </conditionalFormatting>
  <conditionalFormatting sqref="H411">
    <cfRule type="cellIs" dxfId="1604" priority="864" operator="equal">
      <formula>0</formula>
    </cfRule>
  </conditionalFormatting>
  <conditionalFormatting sqref="H411">
    <cfRule type="cellIs" dxfId="1603" priority="865" operator="equal">
      <formula>0</formula>
    </cfRule>
  </conditionalFormatting>
  <conditionalFormatting sqref="H411">
    <cfRule type="cellIs" dxfId="1602" priority="866" operator="equal">
      <formula>0</formula>
    </cfRule>
  </conditionalFormatting>
  <conditionalFormatting sqref="H411">
    <cfRule type="cellIs" dxfId="1601" priority="867" operator="equal">
      <formula>0</formula>
    </cfRule>
  </conditionalFormatting>
  <conditionalFormatting sqref="H411">
    <cfRule type="cellIs" dxfId="1600" priority="868" operator="equal">
      <formula>0</formula>
    </cfRule>
  </conditionalFormatting>
  <conditionalFormatting sqref="H411">
    <cfRule type="cellIs" dxfId="1599" priority="869" operator="equal">
      <formula>0</formula>
    </cfRule>
  </conditionalFormatting>
  <conditionalFormatting sqref="H411">
    <cfRule type="cellIs" dxfId="1598" priority="870" operator="equal">
      <formula>0</formula>
    </cfRule>
  </conditionalFormatting>
  <conditionalFormatting sqref="H411">
    <cfRule type="cellIs" dxfId="1597" priority="871" operator="equal">
      <formula>0</formula>
    </cfRule>
  </conditionalFormatting>
  <conditionalFormatting sqref="H411">
    <cfRule type="cellIs" dxfId="1596" priority="872" operator="equal">
      <formula>0</formula>
    </cfRule>
  </conditionalFormatting>
  <conditionalFormatting sqref="H411">
    <cfRule type="cellIs" dxfId="1595" priority="873" operator="equal">
      <formula>0</formula>
    </cfRule>
  </conditionalFormatting>
  <conditionalFormatting sqref="H411">
    <cfRule type="cellIs" dxfId="1594" priority="874" operator="equal">
      <formula>0</formula>
    </cfRule>
  </conditionalFormatting>
  <conditionalFormatting sqref="H411">
    <cfRule type="cellIs" dxfId="1593" priority="875" operator="equal">
      <formula>0</formula>
    </cfRule>
  </conditionalFormatting>
  <conditionalFormatting sqref="H411">
    <cfRule type="cellIs" dxfId="1592" priority="876" operator="equal">
      <formula>0</formula>
    </cfRule>
  </conditionalFormatting>
  <conditionalFormatting sqref="H411">
    <cfRule type="cellIs" dxfId="1591" priority="877" operator="equal">
      <formula>0</formula>
    </cfRule>
  </conditionalFormatting>
  <conditionalFormatting sqref="H411">
    <cfRule type="cellIs" dxfId="1590" priority="878" operator="equal">
      <formula>0</formula>
    </cfRule>
  </conditionalFormatting>
  <conditionalFormatting sqref="H411">
    <cfRule type="cellIs" dxfId="1589" priority="879" operator="equal">
      <formula>0</formula>
    </cfRule>
  </conditionalFormatting>
  <conditionalFormatting sqref="H411">
    <cfRule type="cellIs" dxfId="1588" priority="880" operator="equal">
      <formula>0</formula>
    </cfRule>
  </conditionalFormatting>
  <conditionalFormatting sqref="H411">
    <cfRule type="cellIs" dxfId="1587" priority="881" operator="equal">
      <formula>0</formula>
    </cfRule>
  </conditionalFormatting>
  <conditionalFormatting sqref="H411">
    <cfRule type="cellIs" dxfId="1586" priority="882" operator="equal">
      <formula>0</formula>
    </cfRule>
  </conditionalFormatting>
  <conditionalFormatting sqref="H411">
    <cfRule type="cellIs" dxfId="1585" priority="883" operator="equal">
      <formula>0</formula>
    </cfRule>
  </conditionalFormatting>
  <conditionalFormatting sqref="H411">
    <cfRule type="cellIs" dxfId="1584" priority="884" operator="equal">
      <formula>0</formula>
    </cfRule>
  </conditionalFormatting>
  <conditionalFormatting sqref="H411">
    <cfRule type="cellIs" dxfId="1583" priority="885" operator="equal">
      <formula>0</formula>
    </cfRule>
  </conditionalFormatting>
  <conditionalFormatting sqref="H411">
    <cfRule type="cellIs" dxfId="1582" priority="886" operator="equal">
      <formula>0</formula>
    </cfRule>
  </conditionalFormatting>
  <conditionalFormatting sqref="H411">
    <cfRule type="cellIs" dxfId="1581" priority="887" operator="equal">
      <formula>0</formula>
    </cfRule>
  </conditionalFormatting>
  <conditionalFormatting sqref="H411">
    <cfRule type="cellIs" dxfId="1580" priority="888" operator="equal">
      <formula>0</formula>
    </cfRule>
  </conditionalFormatting>
  <conditionalFormatting sqref="H411">
    <cfRule type="cellIs" dxfId="1579" priority="889" operator="equal">
      <formula>0</formula>
    </cfRule>
  </conditionalFormatting>
  <conditionalFormatting sqref="H411">
    <cfRule type="cellIs" dxfId="1578" priority="890" operator="equal">
      <formula>0</formula>
    </cfRule>
  </conditionalFormatting>
  <conditionalFormatting sqref="H411">
    <cfRule type="cellIs" dxfId="1577" priority="891" operator="equal">
      <formula>0</formula>
    </cfRule>
  </conditionalFormatting>
  <conditionalFormatting sqref="H411">
    <cfRule type="cellIs" dxfId="1576" priority="892" operator="equal">
      <formula>0</formula>
    </cfRule>
  </conditionalFormatting>
  <conditionalFormatting sqref="H411">
    <cfRule type="cellIs" dxfId="1575" priority="893" operator="equal">
      <formula>0</formula>
    </cfRule>
  </conditionalFormatting>
  <conditionalFormatting sqref="H411">
    <cfRule type="cellIs" dxfId="1574" priority="894" operator="equal">
      <formula>0</formula>
    </cfRule>
  </conditionalFormatting>
  <conditionalFormatting sqref="H411">
    <cfRule type="cellIs" dxfId="1573" priority="895" operator="equal">
      <formula>0</formula>
    </cfRule>
  </conditionalFormatting>
  <conditionalFormatting sqref="H411">
    <cfRule type="cellIs" dxfId="1572" priority="896" operator="equal">
      <formula>0</formula>
    </cfRule>
  </conditionalFormatting>
  <conditionalFormatting sqref="H411">
    <cfRule type="cellIs" dxfId="1571" priority="897" operator="equal">
      <formula>0</formula>
    </cfRule>
  </conditionalFormatting>
  <conditionalFormatting sqref="H411">
    <cfRule type="cellIs" dxfId="1570" priority="898" operator="equal">
      <formula>0</formula>
    </cfRule>
  </conditionalFormatting>
  <conditionalFormatting sqref="H411">
    <cfRule type="cellIs" dxfId="1569" priority="899" operator="equal">
      <formula>0</formula>
    </cfRule>
  </conditionalFormatting>
  <conditionalFormatting sqref="H411">
    <cfRule type="cellIs" dxfId="1568" priority="900" operator="equal">
      <formula>0</formula>
    </cfRule>
  </conditionalFormatting>
  <conditionalFormatting sqref="H411">
    <cfRule type="cellIs" dxfId="1567" priority="901" operator="equal">
      <formula>0</formula>
    </cfRule>
  </conditionalFormatting>
  <conditionalFormatting sqref="H411">
    <cfRule type="cellIs" dxfId="1566" priority="902" operator="equal">
      <formula>0</formula>
    </cfRule>
  </conditionalFormatting>
  <conditionalFormatting sqref="H411">
    <cfRule type="cellIs" dxfId="1565" priority="903" operator="equal">
      <formula>0</formula>
    </cfRule>
  </conditionalFormatting>
  <conditionalFormatting sqref="H411">
    <cfRule type="cellIs" dxfId="1564" priority="904" operator="equal">
      <formula>0</formula>
    </cfRule>
  </conditionalFormatting>
  <conditionalFormatting sqref="H411">
    <cfRule type="cellIs" dxfId="1563" priority="905" operator="equal">
      <formula>0</formula>
    </cfRule>
  </conditionalFormatting>
  <conditionalFormatting sqref="H411">
    <cfRule type="cellIs" dxfId="1562" priority="906" operator="equal">
      <formula>0</formula>
    </cfRule>
  </conditionalFormatting>
  <conditionalFormatting sqref="H411">
    <cfRule type="cellIs" dxfId="1561" priority="907" operator="equal">
      <formula>0</formula>
    </cfRule>
  </conditionalFormatting>
  <conditionalFormatting sqref="H411">
    <cfRule type="cellIs" dxfId="1560" priority="908" operator="equal">
      <formula>0</formula>
    </cfRule>
  </conditionalFormatting>
  <conditionalFormatting sqref="H411">
    <cfRule type="cellIs" dxfId="1559" priority="909" operator="equal">
      <formula>0</formula>
    </cfRule>
  </conditionalFormatting>
  <conditionalFormatting sqref="H411">
    <cfRule type="cellIs" dxfId="1558" priority="910" operator="equal">
      <formula>0</formula>
    </cfRule>
  </conditionalFormatting>
  <conditionalFormatting sqref="H411">
    <cfRule type="cellIs" dxfId="1557" priority="911" operator="equal">
      <formula>0</formula>
    </cfRule>
  </conditionalFormatting>
  <conditionalFormatting sqref="H411">
    <cfRule type="cellIs" dxfId="1556" priority="912" operator="equal">
      <formula>0</formula>
    </cfRule>
  </conditionalFormatting>
  <conditionalFormatting sqref="H411">
    <cfRule type="cellIs" dxfId="1555" priority="913" operator="equal">
      <formula>0</formula>
    </cfRule>
  </conditionalFormatting>
  <conditionalFormatting sqref="H411">
    <cfRule type="cellIs" dxfId="1554" priority="914" operator="equal">
      <formula>0</formula>
    </cfRule>
  </conditionalFormatting>
  <conditionalFormatting sqref="H411">
    <cfRule type="cellIs" dxfId="1553" priority="915" operator="equal">
      <formula>0</formula>
    </cfRule>
  </conditionalFormatting>
  <conditionalFormatting sqref="H411">
    <cfRule type="cellIs" dxfId="1552" priority="916" operator="equal">
      <formula>0</formula>
    </cfRule>
  </conditionalFormatting>
  <conditionalFormatting sqref="H411">
    <cfRule type="cellIs" dxfId="1551" priority="917" operator="equal">
      <formula>0</formula>
    </cfRule>
  </conditionalFormatting>
  <conditionalFormatting sqref="H411">
    <cfRule type="cellIs" dxfId="1550" priority="918" operator="equal">
      <formula>0</formula>
    </cfRule>
  </conditionalFormatting>
  <conditionalFormatting sqref="H411">
    <cfRule type="cellIs" dxfId="1549" priority="919" operator="equal">
      <formula>0</formula>
    </cfRule>
  </conditionalFormatting>
  <conditionalFormatting sqref="H411">
    <cfRule type="cellIs" dxfId="1548" priority="920" operator="equal">
      <formula>0</formula>
    </cfRule>
  </conditionalFormatting>
  <conditionalFormatting sqref="H411">
    <cfRule type="cellIs" dxfId="1547" priority="921" operator="equal">
      <formula>0</formula>
    </cfRule>
  </conditionalFormatting>
  <conditionalFormatting sqref="H411">
    <cfRule type="cellIs" dxfId="1546" priority="922" operator="equal">
      <formula>0</formula>
    </cfRule>
  </conditionalFormatting>
  <conditionalFormatting sqref="H411">
    <cfRule type="cellIs" dxfId="1545" priority="923" operator="equal">
      <formula>0</formula>
    </cfRule>
  </conditionalFormatting>
  <conditionalFormatting sqref="H411">
    <cfRule type="cellIs" dxfId="1544" priority="924" operator="equal">
      <formula>0</formula>
    </cfRule>
  </conditionalFormatting>
  <conditionalFormatting sqref="H411">
    <cfRule type="cellIs" dxfId="1543" priority="925" operator="equal">
      <formula>0</formula>
    </cfRule>
  </conditionalFormatting>
  <conditionalFormatting sqref="H411">
    <cfRule type="cellIs" dxfId="1542" priority="926" operator="equal">
      <formula>0</formula>
    </cfRule>
  </conditionalFormatting>
  <conditionalFormatting sqref="H455">
    <cfRule type="cellIs" dxfId="1541" priority="927" operator="equal">
      <formula>0</formula>
    </cfRule>
  </conditionalFormatting>
  <conditionalFormatting sqref="H455">
    <cfRule type="cellIs" dxfId="1540" priority="928" operator="equal">
      <formula>0</formula>
    </cfRule>
  </conditionalFormatting>
  <conditionalFormatting sqref="H455">
    <cfRule type="cellIs" dxfId="1539" priority="929" operator="equal">
      <formula>0</formula>
    </cfRule>
  </conditionalFormatting>
  <conditionalFormatting sqref="H455">
    <cfRule type="cellIs" dxfId="1538" priority="930" operator="equal">
      <formula>0</formula>
    </cfRule>
  </conditionalFormatting>
  <conditionalFormatting sqref="H455">
    <cfRule type="cellIs" dxfId="1537" priority="931" operator="equal">
      <formula>0</formula>
    </cfRule>
  </conditionalFormatting>
  <conditionalFormatting sqref="H455">
    <cfRule type="cellIs" dxfId="1536" priority="932" operator="equal">
      <formula>0</formula>
    </cfRule>
  </conditionalFormatting>
  <conditionalFormatting sqref="H455">
    <cfRule type="cellIs" dxfId="1535" priority="933" operator="equal">
      <formula>0</formula>
    </cfRule>
  </conditionalFormatting>
  <conditionalFormatting sqref="H455">
    <cfRule type="cellIs" dxfId="1534" priority="934" operator="equal">
      <formula>0</formula>
    </cfRule>
  </conditionalFormatting>
  <conditionalFormatting sqref="H455">
    <cfRule type="cellIs" dxfId="1533" priority="935" operator="equal">
      <formula>0</formula>
    </cfRule>
  </conditionalFormatting>
  <conditionalFormatting sqref="H455">
    <cfRule type="cellIs" dxfId="1532" priority="936" operator="equal">
      <formula>0</formula>
    </cfRule>
  </conditionalFormatting>
  <conditionalFormatting sqref="H455">
    <cfRule type="cellIs" dxfId="1531" priority="937" operator="equal">
      <formula>0</formula>
    </cfRule>
  </conditionalFormatting>
  <conditionalFormatting sqref="H455">
    <cfRule type="cellIs" dxfId="1530" priority="938" operator="equal">
      <formula>0</formula>
    </cfRule>
  </conditionalFormatting>
  <conditionalFormatting sqref="H455">
    <cfRule type="cellIs" dxfId="1529" priority="939" operator="equal">
      <formula>0</formula>
    </cfRule>
  </conditionalFormatting>
  <conditionalFormatting sqref="H455">
    <cfRule type="cellIs" dxfId="1528" priority="940" operator="equal">
      <formula>0</formula>
    </cfRule>
  </conditionalFormatting>
  <conditionalFormatting sqref="H455">
    <cfRule type="cellIs" dxfId="1527" priority="941" operator="equal">
      <formula>0</formula>
    </cfRule>
  </conditionalFormatting>
  <conditionalFormatting sqref="H455">
    <cfRule type="cellIs" dxfId="1526" priority="942" operator="equal">
      <formula>0</formula>
    </cfRule>
  </conditionalFormatting>
  <conditionalFormatting sqref="H455">
    <cfRule type="cellIs" dxfId="1525" priority="943" operator="equal">
      <formula>0</formula>
    </cfRule>
  </conditionalFormatting>
  <conditionalFormatting sqref="H455">
    <cfRule type="cellIs" dxfId="1524" priority="944" operator="equal">
      <formula>0</formula>
    </cfRule>
  </conditionalFormatting>
  <conditionalFormatting sqref="H455">
    <cfRule type="cellIs" dxfId="1523" priority="945" operator="equal">
      <formula>0</formula>
    </cfRule>
  </conditionalFormatting>
  <conditionalFormatting sqref="H455">
    <cfRule type="cellIs" dxfId="1522" priority="946" operator="equal">
      <formula>0</formula>
    </cfRule>
  </conditionalFormatting>
  <conditionalFormatting sqref="H455">
    <cfRule type="cellIs" dxfId="1521" priority="947" operator="equal">
      <formula>0</formula>
    </cfRule>
  </conditionalFormatting>
  <conditionalFormatting sqref="H455">
    <cfRule type="cellIs" dxfId="1520" priority="948" operator="equal">
      <formula>0</formula>
    </cfRule>
  </conditionalFormatting>
  <conditionalFormatting sqref="H455">
    <cfRule type="cellIs" dxfId="1519" priority="949" operator="equal">
      <formula>0</formula>
    </cfRule>
  </conditionalFormatting>
  <conditionalFormatting sqref="H455">
    <cfRule type="cellIs" dxfId="1518" priority="950" operator="equal">
      <formula>0</formula>
    </cfRule>
  </conditionalFormatting>
  <conditionalFormatting sqref="H455">
    <cfRule type="cellIs" dxfId="1517" priority="951" operator="equal">
      <formula>0</formula>
    </cfRule>
  </conditionalFormatting>
  <conditionalFormatting sqref="H455">
    <cfRule type="cellIs" dxfId="1516" priority="952" operator="equal">
      <formula>0</formula>
    </cfRule>
  </conditionalFormatting>
  <conditionalFormatting sqref="H455">
    <cfRule type="cellIs" dxfId="1515" priority="953" operator="equal">
      <formula>0</formula>
    </cfRule>
  </conditionalFormatting>
  <conditionalFormatting sqref="H455">
    <cfRule type="cellIs" dxfId="1514" priority="954" operator="equal">
      <formula>0</formula>
    </cfRule>
  </conditionalFormatting>
  <conditionalFormatting sqref="H455">
    <cfRule type="cellIs" dxfId="1513" priority="955" operator="equal">
      <formula>0</formula>
    </cfRule>
  </conditionalFormatting>
  <conditionalFormatting sqref="H455">
    <cfRule type="cellIs" dxfId="1512" priority="956" operator="equal">
      <formula>0</formula>
    </cfRule>
  </conditionalFormatting>
  <conditionalFormatting sqref="H455">
    <cfRule type="cellIs" dxfId="1511" priority="957" operator="equal">
      <formula>0</formula>
    </cfRule>
  </conditionalFormatting>
  <conditionalFormatting sqref="H455">
    <cfRule type="cellIs" dxfId="1510" priority="958" operator="equal">
      <formula>0</formula>
    </cfRule>
  </conditionalFormatting>
  <conditionalFormatting sqref="H455">
    <cfRule type="cellIs" dxfId="1509" priority="959" operator="equal">
      <formula>0</formula>
    </cfRule>
  </conditionalFormatting>
  <conditionalFormatting sqref="H455">
    <cfRule type="cellIs" dxfId="1508" priority="960" operator="equal">
      <formula>0</formula>
    </cfRule>
  </conditionalFormatting>
  <conditionalFormatting sqref="H455">
    <cfRule type="cellIs" dxfId="1507" priority="961" operator="equal">
      <formula>0</formula>
    </cfRule>
  </conditionalFormatting>
  <conditionalFormatting sqref="H455">
    <cfRule type="cellIs" dxfId="1506" priority="962" operator="equal">
      <formula>0</formula>
    </cfRule>
  </conditionalFormatting>
  <conditionalFormatting sqref="H455">
    <cfRule type="cellIs" dxfId="1505" priority="963" operator="equal">
      <formula>0</formula>
    </cfRule>
  </conditionalFormatting>
  <conditionalFormatting sqref="H455">
    <cfRule type="cellIs" dxfId="1504" priority="964" operator="equal">
      <formula>0</formula>
    </cfRule>
  </conditionalFormatting>
  <conditionalFormatting sqref="H455">
    <cfRule type="cellIs" dxfId="1503" priority="965" operator="equal">
      <formula>0</formula>
    </cfRule>
  </conditionalFormatting>
  <conditionalFormatting sqref="H455">
    <cfRule type="cellIs" dxfId="1502" priority="966" operator="equal">
      <formula>0</formula>
    </cfRule>
  </conditionalFormatting>
  <conditionalFormatting sqref="H455">
    <cfRule type="cellIs" dxfId="1501" priority="967" operator="equal">
      <formula>0</formula>
    </cfRule>
  </conditionalFormatting>
  <conditionalFormatting sqref="H455">
    <cfRule type="cellIs" dxfId="1500" priority="968" operator="equal">
      <formula>0</formula>
    </cfRule>
  </conditionalFormatting>
  <conditionalFormatting sqref="H455">
    <cfRule type="cellIs" dxfId="1499" priority="969" operator="equal">
      <formula>0</formula>
    </cfRule>
  </conditionalFormatting>
  <conditionalFormatting sqref="H455">
    <cfRule type="cellIs" dxfId="1498" priority="970" operator="equal">
      <formula>0</formula>
    </cfRule>
  </conditionalFormatting>
  <conditionalFormatting sqref="H455">
    <cfRule type="cellIs" dxfId="1497" priority="971" operator="equal">
      <formula>0</formula>
    </cfRule>
  </conditionalFormatting>
  <conditionalFormatting sqref="H455">
    <cfRule type="cellIs" dxfId="1496" priority="972" operator="equal">
      <formula>0</formula>
    </cfRule>
  </conditionalFormatting>
  <conditionalFormatting sqref="H455">
    <cfRule type="cellIs" dxfId="1495" priority="973" operator="equal">
      <formula>0</formula>
    </cfRule>
  </conditionalFormatting>
  <conditionalFormatting sqref="H455">
    <cfRule type="cellIs" dxfId="1494" priority="974" operator="equal">
      <formula>0</formula>
    </cfRule>
  </conditionalFormatting>
  <conditionalFormatting sqref="H455">
    <cfRule type="cellIs" dxfId="1493" priority="975" operator="equal">
      <formula>0</formula>
    </cfRule>
  </conditionalFormatting>
  <conditionalFormatting sqref="H455">
    <cfRule type="cellIs" dxfId="1492" priority="976" operator="equal">
      <formula>0</formula>
    </cfRule>
  </conditionalFormatting>
  <conditionalFormatting sqref="H455">
    <cfRule type="cellIs" dxfId="1491" priority="977" operator="equal">
      <formula>0</formula>
    </cfRule>
  </conditionalFormatting>
  <conditionalFormatting sqref="H455">
    <cfRule type="cellIs" dxfId="1490" priority="978" operator="equal">
      <formula>0</formula>
    </cfRule>
  </conditionalFormatting>
  <conditionalFormatting sqref="H455">
    <cfRule type="cellIs" dxfId="1489" priority="979" operator="equal">
      <formula>0</formula>
    </cfRule>
  </conditionalFormatting>
  <conditionalFormatting sqref="H455">
    <cfRule type="cellIs" dxfId="1488" priority="980" operator="equal">
      <formula>0</formula>
    </cfRule>
  </conditionalFormatting>
  <conditionalFormatting sqref="H455">
    <cfRule type="cellIs" dxfId="1487" priority="981" operator="equal">
      <formula>0</formula>
    </cfRule>
  </conditionalFormatting>
  <conditionalFormatting sqref="H455">
    <cfRule type="cellIs" dxfId="1486" priority="982" operator="equal">
      <formula>0</formula>
    </cfRule>
  </conditionalFormatting>
  <conditionalFormatting sqref="H455">
    <cfRule type="cellIs" dxfId="1485" priority="983" operator="equal">
      <formula>0</formula>
    </cfRule>
  </conditionalFormatting>
  <conditionalFormatting sqref="H455">
    <cfRule type="cellIs" dxfId="1484" priority="984" operator="equal">
      <formula>0</formula>
    </cfRule>
  </conditionalFormatting>
  <conditionalFormatting sqref="H455">
    <cfRule type="cellIs" dxfId="1483" priority="985" operator="equal">
      <formula>0</formula>
    </cfRule>
  </conditionalFormatting>
  <conditionalFormatting sqref="H455">
    <cfRule type="cellIs" dxfId="1482" priority="986" operator="equal">
      <formula>0</formula>
    </cfRule>
  </conditionalFormatting>
  <conditionalFormatting sqref="H455">
    <cfRule type="cellIs" dxfId="1481" priority="987" operator="equal">
      <formula>0</formula>
    </cfRule>
  </conditionalFormatting>
  <conditionalFormatting sqref="H455">
    <cfRule type="cellIs" dxfId="1480" priority="988" operator="equal">
      <formula>0</formula>
    </cfRule>
  </conditionalFormatting>
  <conditionalFormatting sqref="H455">
    <cfRule type="cellIs" dxfId="1479" priority="989" operator="equal">
      <formula>0</formula>
    </cfRule>
  </conditionalFormatting>
  <conditionalFormatting sqref="H455">
    <cfRule type="cellIs" dxfId="1478" priority="990" operator="equal">
      <formula>0</formula>
    </cfRule>
  </conditionalFormatting>
  <conditionalFormatting sqref="H455">
    <cfRule type="cellIs" dxfId="1477" priority="991" operator="equal">
      <formula>0</formula>
    </cfRule>
  </conditionalFormatting>
  <conditionalFormatting sqref="H455">
    <cfRule type="cellIs" dxfId="1476" priority="992" operator="equal">
      <formula>0</formula>
    </cfRule>
  </conditionalFormatting>
  <conditionalFormatting sqref="H455">
    <cfRule type="cellIs" dxfId="1475" priority="993" operator="equal">
      <formula>0</formula>
    </cfRule>
  </conditionalFormatting>
  <conditionalFormatting sqref="H499">
    <cfRule type="cellIs" dxfId="1474" priority="994" operator="equal">
      <formula>0</formula>
    </cfRule>
  </conditionalFormatting>
  <conditionalFormatting sqref="H499">
    <cfRule type="cellIs" dxfId="1473" priority="995" operator="equal">
      <formula>0</formula>
    </cfRule>
  </conditionalFormatting>
  <conditionalFormatting sqref="H499">
    <cfRule type="cellIs" dxfId="1472" priority="996" operator="equal">
      <formula>0</formula>
    </cfRule>
  </conditionalFormatting>
  <conditionalFormatting sqref="H499">
    <cfRule type="cellIs" dxfId="1471" priority="997" operator="equal">
      <formula>0</formula>
    </cfRule>
  </conditionalFormatting>
  <conditionalFormatting sqref="H499">
    <cfRule type="cellIs" dxfId="1470" priority="998" operator="equal">
      <formula>0</formula>
    </cfRule>
  </conditionalFormatting>
  <conditionalFormatting sqref="H499">
    <cfRule type="cellIs" dxfId="1469" priority="999" operator="equal">
      <formula>0</formula>
    </cfRule>
  </conditionalFormatting>
  <conditionalFormatting sqref="H499">
    <cfRule type="cellIs" dxfId="1468" priority="1000" operator="equal">
      <formula>0</formula>
    </cfRule>
  </conditionalFormatting>
  <conditionalFormatting sqref="H499">
    <cfRule type="cellIs" dxfId="1467" priority="1001" operator="equal">
      <formula>0</formula>
    </cfRule>
  </conditionalFormatting>
  <conditionalFormatting sqref="H499">
    <cfRule type="cellIs" dxfId="1466" priority="1002" operator="equal">
      <formula>0</formula>
    </cfRule>
  </conditionalFormatting>
  <conditionalFormatting sqref="H499">
    <cfRule type="cellIs" dxfId="1465" priority="1003" operator="equal">
      <formula>0</formula>
    </cfRule>
  </conditionalFormatting>
  <conditionalFormatting sqref="H499">
    <cfRule type="cellIs" dxfId="1464" priority="1004" operator="equal">
      <formula>0</formula>
    </cfRule>
  </conditionalFormatting>
  <conditionalFormatting sqref="H499">
    <cfRule type="cellIs" dxfId="1463" priority="1005" operator="equal">
      <formula>0</formula>
    </cfRule>
  </conditionalFormatting>
  <conditionalFormatting sqref="H499">
    <cfRule type="cellIs" dxfId="1462" priority="1006" operator="equal">
      <formula>0</formula>
    </cfRule>
  </conditionalFormatting>
  <conditionalFormatting sqref="H499">
    <cfRule type="cellIs" dxfId="1461" priority="1007" operator="equal">
      <formula>0</formula>
    </cfRule>
  </conditionalFormatting>
  <conditionalFormatting sqref="H499">
    <cfRule type="cellIs" dxfId="1460" priority="1008" operator="equal">
      <formula>0</formula>
    </cfRule>
  </conditionalFormatting>
  <conditionalFormatting sqref="H499">
    <cfRule type="cellIs" dxfId="1459" priority="1009" operator="equal">
      <formula>0</formula>
    </cfRule>
  </conditionalFormatting>
  <conditionalFormatting sqref="H499">
    <cfRule type="cellIs" dxfId="1458" priority="1010" operator="equal">
      <formula>0</formula>
    </cfRule>
  </conditionalFormatting>
  <conditionalFormatting sqref="H499">
    <cfRule type="cellIs" dxfId="1457" priority="1011" operator="equal">
      <formula>0</formula>
    </cfRule>
  </conditionalFormatting>
  <conditionalFormatting sqref="H499">
    <cfRule type="cellIs" dxfId="1456" priority="1012" operator="equal">
      <formula>0</formula>
    </cfRule>
  </conditionalFormatting>
  <conditionalFormatting sqref="H499">
    <cfRule type="cellIs" dxfId="1455" priority="1013" operator="equal">
      <formula>0</formula>
    </cfRule>
  </conditionalFormatting>
  <conditionalFormatting sqref="H499">
    <cfRule type="cellIs" dxfId="1454" priority="1014" operator="equal">
      <formula>0</formula>
    </cfRule>
  </conditionalFormatting>
  <conditionalFormatting sqref="H499">
    <cfRule type="cellIs" dxfId="1453" priority="1015" operator="equal">
      <formula>0</formula>
    </cfRule>
  </conditionalFormatting>
  <conditionalFormatting sqref="H499">
    <cfRule type="cellIs" dxfId="1452" priority="1016" operator="equal">
      <formula>0</formula>
    </cfRule>
  </conditionalFormatting>
  <conditionalFormatting sqref="H499">
    <cfRule type="cellIs" dxfId="1451" priority="1017" operator="equal">
      <formula>0</formula>
    </cfRule>
  </conditionalFormatting>
  <conditionalFormatting sqref="H499">
    <cfRule type="cellIs" dxfId="1450" priority="1018" operator="equal">
      <formula>0</formula>
    </cfRule>
  </conditionalFormatting>
  <conditionalFormatting sqref="H499">
    <cfRule type="cellIs" dxfId="1449" priority="1019" operator="equal">
      <formula>0</formula>
    </cfRule>
  </conditionalFormatting>
  <conditionalFormatting sqref="H499">
    <cfRule type="cellIs" dxfId="1448" priority="1020" operator="equal">
      <formula>0</formula>
    </cfRule>
  </conditionalFormatting>
  <conditionalFormatting sqref="H499">
    <cfRule type="cellIs" dxfId="1447" priority="1021" operator="equal">
      <formula>0</formula>
    </cfRule>
  </conditionalFormatting>
  <conditionalFormatting sqref="H499">
    <cfRule type="cellIs" dxfId="1446" priority="1022" operator="equal">
      <formula>0</formula>
    </cfRule>
  </conditionalFormatting>
  <conditionalFormatting sqref="H499">
    <cfRule type="cellIs" dxfId="1445" priority="1023" operator="equal">
      <formula>0</formula>
    </cfRule>
  </conditionalFormatting>
  <conditionalFormatting sqref="H499">
    <cfRule type="cellIs" dxfId="1444" priority="1024" operator="equal">
      <formula>0</formula>
    </cfRule>
  </conditionalFormatting>
  <conditionalFormatting sqref="H499">
    <cfRule type="cellIs" dxfId="1443" priority="1025" operator="equal">
      <formula>0</formula>
    </cfRule>
  </conditionalFormatting>
  <conditionalFormatting sqref="H499">
    <cfRule type="cellIs" dxfId="1442" priority="1026" operator="equal">
      <formula>0</formula>
    </cfRule>
  </conditionalFormatting>
  <conditionalFormatting sqref="H499">
    <cfRule type="cellIs" dxfId="1441" priority="1027" operator="equal">
      <formula>0</formula>
    </cfRule>
  </conditionalFormatting>
  <conditionalFormatting sqref="H499">
    <cfRule type="cellIs" dxfId="1440" priority="1028" operator="equal">
      <formula>0</formula>
    </cfRule>
  </conditionalFormatting>
  <conditionalFormatting sqref="H499">
    <cfRule type="cellIs" dxfId="1439" priority="1029" operator="equal">
      <formula>0</formula>
    </cfRule>
  </conditionalFormatting>
  <conditionalFormatting sqref="H499">
    <cfRule type="cellIs" dxfId="1438" priority="1030" operator="equal">
      <formula>0</formula>
    </cfRule>
  </conditionalFormatting>
  <conditionalFormatting sqref="H499">
    <cfRule type="cellIs" dxfId="1437" priority="1031" operator="equal">
      <formula>0</formula>
    </cfRule>
  </conditionalFormatting>
  <conditionalFormatting sqref="H499">
    <cfRule type="cellIs" dxfId="1436" priority="1032" operator="equal">
      <formula>0</formula>
    </cfRule>
  </conditionalFormatting>
  <conditionalFormatting sqref="H499">
    <cfRule type="cellIs" dxfId="1435" priority="1033" operator="equal">
      <formula>0</formula>
    </cfRule>
  </conditionalFormatting>
  <conditionalFormatting sqref="H499">
    <cfRule type="cellIs" dxfId="1434" priority="1034" operator="equal">
      <formula>0</formula>
    </cfRule>
  </conditionalFormatting>
  <conditionalFormatting sqref="H499">
    <cfRule type="cellIs" dxfId="1433" priority="1035" operator="equal">
      <formula>0</formula>
    </cfRule>
  </conditionalFormatting>
  <conditionalFormatting sqref="H499">
    <cfRule type="cellIs" dxfId="1432" priority="1036" operator="equal">
      <formula>0</formula>
    </cfRule>
  </conditionalFormatting>
  <conditionalFormatting sqref="H499">
    <cfRule type="cellIs" dxfId="1431" priority="1037" operator="equal">
      <formula>0</formula>
    </cfRule>
  </conditionalFormatting>
  <conditionalFormatting sqref="H499">
    <cfRule type="cellIs" dxfId="1430" priority="1038" operator="equal">
      <formula>0</formula>
    </cfRule>
  </conditionalFormatting>
  <conditionalFormatting sqref="H499">
    <cfRule type="cellIs" dxfId="1429" priority="1039" operator="equal">
      <formula>0</formula>
    </cfRule>
  </conditionalFormatting>
  <conditionalFormatting sqref="H499">
    <cfRule type="cellIs" dxfId="1428" priority="1040" operator="equal">
      <formula>0</formula>
    </cfRule>
  </conditionalFormatting>
  <conditionalFormatting sqref="H499">
    <cfRule type="cellIs" dxfId="1427" priority="1041" operator="equal">
      <formula>0</formula>
    </cfRule>
  </conditionalFormatting>
  <conditionalFormatting sqref="H499">
    <cfRule type="cellIs" dxfId="1426" priority="1042" operator="equal">
      <formula>0</formula>
    </cfRule>
  </conditionalFormatting>
  <conditionalFormatting sqref="H499">
    <cfRule type="cellIs" dxfId="1425" priority="1043" operator="equal">
      <formula>0</formula>
    </cfRule>
  </conditionalFormatting>
  <conditionalFormatting sqref="H499">
    <cfRule type="cellIs" dxfId="1424" priority="1044" operator="equal">
      <formula>0</formula>
    </cfRule>
  </conditionalFormatting>
  <conditionalFormatting sqref="H499">
    <cfRule type="cellIs" dxfId="1423" priority="1045" operator="equal">
      <formula>0</formula>
    </cfRule>
  </conditionalFormatting>
  <conditionalFormatting sqref="H499">
    <cfRule type="cellIs" dxfId="1422" priority="1046" operator="equal">
      <formula>0</formula>
    </cfRule>
  </conditionalFormatting>
  <conditionalFormatting sqref="H499">
    <cfRule type="cellIs" dxfId="1421" priority="1047" operator="equal">
      <formula>0</formula>
    </cfRule>
  </conditionalFormatting>
  <conditionalFormatting sqref="H499">
    <cfRule type="cellIs" dxfId="1420" priority="1048" operator="equal">
      <formula>0</formula>
    </cfRule>
  </conditionalFormatting>
  <conditionalFormatting sqref="H499">
    <cfRule type="cellIs" dxfId="1419" priority="1049" operator="equal">
      <formula>0</formula>
    </cfRule>
  </conditionalFormatting>
  <conditionalFormatting sqref="H499">
    <cfRule type="cellIs" dxfId="1418" priority="1050" operator="equal">
      <formula>0</formula>
    </cfRule>
  </conditionalFormatting>
  <conditionalFormatting sqref="H499">
    <cfRule type="cellIs" dxfId="1417" priority="1051" operator="equal">
      <formula>0</formula>
    </cfRule>
  </conditionalFormatting>
  <conditionalFormatting sqref="H499">
    <cfRule type="cellIs" dxfId="1416" priority="1052" operator="equal">
      <formula>0</formula>
    </cfRule>
  </conditionalFormatting>
  <conditionalFormatting sqref="H499">
    <cfRule type="cellIs" dxfId="1415" priority="1053" operator="equal">
      <formula>0</formula>
    </cfRule>
  </conditionalFormatting>
  <conditionalFormatting sqref="H499">
    <cfRule type="cellIs" dxfId="1414" priority="1054" operator="equal">
      <formula>0</formula>
    </cfRule>
  </conditionalFormatting>
  <conditionalFormatting sqref="H499">
    <cfRule type="cellIs" dxfId="1413" priority="1055" operator="equal">
      <formula>0</formula>
    </cfRule>
  </conditionalFormatting>
  <conditionalFormatting sqref="H499">
    <cfRule type="cellIs" dxfId="1412" priority="1056" operator="equal">
      <formula>0</formula>
    </cfRule>
  </conditionalFormatting>
  <conditionalFormatting sqref="H499">
    <cfRule type="cellIs" dxfId="1411" priority="1057" operator="equal">
      <formula>0</formula>
    </cfRule>
  </conditionalFormatting>
  <conditionalFormatting sqref="H499">
    <cfRule type="cellIs" dxfId="1410" priority="1058" operator="equal">
      <formula>0</formula>
    </cfRule>
  </conditionalFormatting>
  <conditionalFormatting sqref="H499">
    <cfRule type="cellIs" dxfId="1409" priority="1059" operator="equal">
      <formula>0</formula>
    </cfRule>
  </conditionalFormatting>
  <conditionalFormatting sqref="H499">
    <cfRule type="cellIs" dxfId="1408" priority="1060" operator="equal">
      <formula>0</formula>
    </cfRule>
  </conditionalFormatting>
  <conditionalFormatting sqref="H543">
    <cfRule type="cellIs" dxfId="1407" priority="1061" operator="equal">
      <formula>0</formula>
    </cfRule>
  </conditionalFormatting>
  <conditionalFormatting sqref="H543">
    <cfRule type="cellIs" dxfId="1406" priority="1062" operator="equal">
      <formula>0</formula>
    </cfRule>
  </conditionalFormatting>
  <conditionalFormatting sqref="H543">
    <cfRule type="cellIs" dxfId="1405" priority="1063" operator="equal">
      <formula>0</formula>
    </cfRule>
  </conditionalFormatting>
  <conditionalFormatting sqref="H543">
    <cfRule type="cellIs" dxfId="1404" priority="1064" operator="equal">
      <formula>0</formula>
    </cfRule>
  </conditionalFormatting>
  <conditionalFormatting sqref="H543">
    <cfRule type="cellIs" dxfId="1403" priority="1065" operator="equal">
      <formula>0</formula>
    </cfRule>
  </conditionalFormatting>
  <conditionalFormatting sqref="H543">
    <cfRule type="cellIs" dxfId="1402" priority="1066" operator="equal">
      <formula>0</formula>
    </cfRule>
  </conditionalFormatting>
  <conditionalFormatting sqref="H543">
    <cfRule type="cellIs" dxfId="1401" priority="1067" operator="equal">
      <formula>0</formula>
    </cfRule>
  </conditionalFormatting>
  <conditionalFormatting sqref="H543">
    <cfRule type="cellIs" dxfId="1400" priority="1068" operator="equal">
      <formula>0</formula>
    </cfRule>
  </conditionalFormatting>
  <conditionalFormatting sqref="H543">
    <cfRule type="cellIs" dxfId="1399" priority="1069" operator="equal">
      <formula>0</formula>
    </cfRule>
  </conditionalFormatting>
  <conditionalFormatting sqref="H543">
    <cfRule type="cellIs" dxfId="1398" priority="1070" operator="equal">
      <formula>0</formula>
    </cfRule>
  </conditionalFormatting>
  <conditionalFormatting sqref="H543">
    <cfRule type="cellIs" dxfId="1397" priority="1071" operator="equal">
      <formula>0</formula>
    </cfRule>
  </conditionalFormatting>
  <conditionalFormatting sqref="H543">
    <cfRule type="cellIs" dxfId="1396" priority="1072" operator="equal">
      <formula>0</formula>
    </cfRule>
  </conditionalFormatting>
  <conditionalFormatting sqref="H543">
    <cfRule type="cellIs" dxfId="1395" priority="1073" operator="equal">
      <formula>0</formula>
    </cfRule>
  </conditionalFormatting>
  <conditionalFormatting sqref="H543">
    <cfRule type="cellIs" dxfId="1394" priority="1074" operator="equal">
      <formula>0</formula>
    </cfRule>
  </conditionalFormatting>
  <conditionalFormatting sqref="H543">
    <cfRule type="cellIs" dxfId="1393" priority="1075" operator="equal">
      <formula>0</formula>
    </cfRule>
  </conditionalFormatting>
  <conditionalFormatting sqref="H543">
    <cfRule type="cellIs" dxfId="1392" priority="1076" operator="equal">
      <formula>0</formula>
    </cfRule>
  </conditionalFormatting>
  <conditionalFormatting sqref="H543">
    <cfRule type="cellIs" dxfId="1391" priority="1077" operator="equal">
      <formula>0</formula>
    </cfRule>
  </conditionalFormatting>
  <conditionalFormatting sqref="H543">
    <cfRule type="cellIs" dxfId="1390" priority="1078" operator="equal">
      <formula>0</formula>
    </cfRule>
  </conditionalFormatting>
  <conditionalFormatting sqref="H543">
    <cfRule type="cellIs" dxfId="1389" priority="1079" operator="equal">
      <formula>0</formula>
    </cfRule>
  </conditionalFormatting>
  <conditionalFormatting sqref="H543">
    <cfRule type="cellIs" dxfId="1388" priority="1080" operator="equal">
      <formula>0</formula>
    </cfRule>
  </conditionalFormatting>
  <conditionalFormatting sqref="H543">
    <cfRule type="cellIs" dxfId="1387" priority="1081" operator="equal">
      <formula>0</formula>
    </cfRule>
  </conditionalFormatting>
  <conditionalFormatting sqref="H543">
    <cfRule type="cellIs" dxfId="1386" priority="1082" operator="equal">
      <formula>0</formula>
    </cfRule>
  </conditionalFormatting>
  <conditionalFormatting sqref="H543">
    <cfRule type="cellIs" dxfId="1385" priority="1083" operator="equal">
      <formula>0</formula>
    </cfRule>
  </conditionalFormatting>
  <conditionalFormatting sqref="H543">
    <cfRule type="cellIs" dxfId="1384" priority="1084" operator="equal">
      <formula>0</formula>
    </cfRule>
  </conditionalFormatting>
  <conditionalFormatting sqref="H543">
    <cfRule type="cellIs" dxfId="1383" priority="1085" operator="equal">
      <formula>0</formula>
    </cfRule>
  </conditionalFormatting>
  <conditionalFormatting sqref="H543">
    <cfRule type="cellIs" dxfId="1382" priority="1086" operator="equal">
      <formula>0</formula>
    </cfRule>
  </conditionalFormatting>
  <conditionalFormatting sqref="H543">
    <cfRule type="cellIs" dxfId="1381" priority="1087" operator="equal">
      <formula>0</formula>
    </cfRule>
  </conditionalFormatting>
  <conditionalFormatting sqref="H543">
    <cfRule type="cellIs" dxfId="1380" priority="1088" operator="equal">
      <formula>0</formula>
    </cfRule>
  </conditionalFormatting>
  <conditionalFormatting sqref="H543">
    <cfRule type="cellIs" dxfId="1379" priority="1089" operator="equal">
      <formula>0</formula>
    </cfRule>
  </conditionalFormatting>
  <conditionalFormatting sqref="H543">
    <cfRule type="cellIs" dxfId="1378" priority="1090" operator="equal">
      <formula>0</formula>
    </cfRule>
  </conditionalFormatting>
  <conditionalFormatting sqref="H543">
    <cfRule type="cellIs" dxfId="1377" priority="1091" operator="equal">
      <formula>0</formula>
    </cfRule>
  </conditionalFormatting>
  <conditionalFormatting sqref="H543">
    <cfRule type="cellIs" dxfId="1376" priority="1092" operator="equal">
      <formula>0</formula>
    </cfRule>
  </conditionalFormatting>
  <conditionalFormatting sqref="H543">
    <cfRule type="cellIs" dxfId="1375" priority="1093" operator="equal">
      <formula>0</formula>
    </cfRule>
  </conditionalFormatting>
  <conditionalFormatting sqref="H543">
    <cfRule type="cellIs" dxfId="1374" priority="1094" operator="equal">
      <formula>0</formula>
    </cfRule>
  </conditionalFormatting>
  <conditionalFormatting sqref="H543">
    <cfRule type="cellIs" dxfId="1373" priority="1095" operator="equal">
      <formula>0</formula>
    </cfRule>
  </conditionalFormatting>
  <conditionalFormatting sqref="H543">
    <cfRule type="cellIs" dxfId="1372" priority="1096" operator="equal">
      <formula>0</formula>
    </cfRule>
  </conditionalFormatting>
  <conditionalFormatting sqref="H543">
    <cfRule type="cellIs" dxfId="1371" priority="1097" operator="equal">
      <formula>0</formula>
    </cfRule>
  </conditionalFormatting>
  <conditionalFormatting sqref="H543">
    <cfRule type="cellIs" dxfId="1370" priority="1098" operator="equal">
      <formula>0</formula>
    </cfRule>
  </conditionalFormatting>
  <conditionalFormatting sqref="H543">
    <cfRule type="cellIs" dxfId="1369" priority="1099" operator="equal">
      <formula>0</formula>
    </cfRule>
  </conditionalFormatting>
  <conditionalFormatting sqref="H543">
    <cfRule type="cellIs" dxfId="1368" priority="1100" operator="equal">
      <formula>0</formula>
    </cfRule>
  </conditionalFormatting>
  <conditionalFormatting sqref="H543">
    <cfRule type="cellIs" dxfId="1367" priority="1101" operator="equal">
      <formula>0</formula>
    </cfRule>
  </conditionalFormatting>
  <conditionalFormatting sqref="H543">
    <cfRule type="cellIs" dxfId="1366" priority="1102" operator="equal">
      <formula>0</formula>
    </cfRule>
  </conditionalFormatting>
  <conditionalFormatting sqref="H543">
    <cfRule type="cellIs" dxfId="1365" priority="1103" operator="equal">
      <formula>0</formula>
    </cfRule>
  </conditionalFormatting>
  <conditionalFormatting sqref="H543">
    <cfRule type="cellIs" dxfId="1364" priority="1104" operator="equal">
      <formula>0</formula>
    </cfRule>
  </conditionalFormatting>
  <conditionalFormatting sqref="H543">
    <cfRule type="cellIs" dxfId="1363" priority="1105" operator="equal">
      <formula>0</formula>
    </cfRule>
  </conditionalFormatting>
  <conditionalFormatting sqref="H543">
    <cfRule type="cellIs" dxfId="1362" priority="1106" operator="equal">
      <formula>0</formula>
    </cfRule>
  </conditionalFormatting>
  <conditionalFormatting sqref="H543">
    <cfRule type="cellIs" dxfId="1361" priority="1107" operator="equal">
      <formula>0</formula>
    </cfRule>
  </conditionalFormatting>
  <conditionalFormatting sqref="H543">
    <cfRule type="cellIs" dxfId="1360" priority="1108" operator="equal">
      <formula>0</formula>
    </cfRule>
  </conditionalFormatting>
  <conditionalFormatting sqref="H543">
    <cfRule type="cellIs" dxfId="1359" priority="1109" operator="equal">
      <formula>0</formula>
    </cfRule>
  </conditionalFormatting>
  <conditionalFormatting sqref="H543">
    <cfRule type="cellIs" dxfId="1358" priority="1110" operator="equal">
      <formula>0</formula>
    </cfRule>
  </conditionalFormatting>
  <conditionalFormatting sqref="H543">
    <cfRule type="cellIs" dxfId="1357" priority="1111" operator="equal">
      <formula>0</formula>
    </cfRule>
  </conditionalFormatting>
  <conditionalFormatting sqref="H543">
    <cfRule type="cellIs" dxfId="1356" priority="1112" operator="equal">
      <formula>0</formula>
    </cfRule>
  </conditionalFormatting>
  <conditionalFormatting sqref="H543">
    <cfRule type="cellIs" dxfId="1355" priority="1113" operator="equal">
      <formula>0</formula>
    </cfRule>
  </conditionalFormatting>
  <conditionalFormatting sqref="H543">
    <cfRule type="cellIs" dxfId="1354" priority="1114" operator="equal">
      <formula>0</formula>
    </cfRule>
  </conditionalFormatting>
  <conditionalFormatting sqref="H543">
    <cfRule type="cellIs" dxfId="1353" priority="1115" operator="equal">
      <formula>0</formula>
    </cfRule>
  </conditionalFormatting>
  <conditionalFormatting sqref="H543">
    <cfRule type="cellIs" dxfId="1352" priority="1116" operator="equal">
      <formula>0</formula>
    </cfRule>
  </conditionalFormatting>
  <conditionalFormatting sqref="H543">
    <cfRule type="cellIs" dxfId="1351" priority="1117" operator="equal">
      <formula>0</formula>
    </cfRule>
  </conditionalFormatting>
  <conditionalFormatting sqref="H543">
    <cfRule type="cellIs" dxfId="1350" priority="1118" operator="equal">
      <formula>0</formula>
    </cfRule>
  </conditionalFormatting>
  <conditionalFormatting sqref="H543">
    <cfRule type="cellIs" dxfId="1349" priority="1119" operator="equal">
      <formula>0</formula>
    </cfRule>
  </conditionalFormatting>
  <conditionalFormatting sqref="H543">
    <cfRule type="cellIs" dxfId="1348" priority="1120" operator="equal">
      <formula>0</formula>
    </cfRule>
  </conditionalFormatting>
  <conditionalFormatting sqref="H543">
    <cfRule type="cellIs" dxfId="1347" priority="1121" operator="equal">
      <formula>0</formula>
    </cfRule>
  </conditionalFormatting>
  <conditionalFormatting sqref="H543">
    <cfRule type="cellIs" dxfId="1346" priority="1122" operator="equal">
      <formula>0</formula>
    </cfRule>
  </conditionalFormatting>
  <conditionalFormatting sqref="H543">
    <cfRule type="cellIs" dxfId="1345" priority="1123" operator="equal">
      <formula>0</formula>
    </cfRule>
  </conditionalFormatting>
  <conditionalFormatting sqref="H543">
    <cfRule type="cellIs" dxfId="1344" priority="1124" operator="equal">
      <formula>0</formula>
    </cfRule>
  </conditionalFormatting>
  <conditionalFormatting sqref="H543">
    <cfRule type="cellIs" dxfId="1343" priority="1125" operator="equal">
      <formula>0</formula>
    </cfRule>
  </conditionalFormatting>
  <conditionalFormatting sqref="H543">
    <cfRule type="cellIs" dxfId="1342" priority="1126" operator="equal">
      <formula>0</formula>
    </cfRule>
  </conditionalFormatting>
  <conditionalFormatting sqref="H543">
    <cfRule type="cellIs" dxfId="1341" priority="1127" operator="equal">
      <formula>0</formula>
    </cfRule>
  </conditionalFormatting>
  <conditionalFormatting sqref="H587">
    <cfRule type="cellIs" dxfId="1340" priority="1128" operator="equal">
      <formula>0</formula>
    </cfRule>
  </conditionalFormatting>
  <conditionalFormatting sqref="H587">
    <cfRule type="cellIs" dxfId="1339" priority="1129" operator="equal">
      <formula>0</formula>
    </cfRule>
  </conditionalFormatting>
  <conditionalFormatting sqref="H587">
    <cfRule type="cellIs" dxfId="1338" priority="1130" operator="equal">
      <formula>0</formula>
    </cfRule>
  </conditionalFormatting>
  <conditionalFormatting sqref="H587">
    <cfRule type="cellIs" dxfId="1337" priority="1131" operator="equal">
      <formula>0</formula>
    </cfRule>
  </conditionalFormatting>
  <conditionalFormatting sqref="H587">
    <cfRule type="cellIs" dxfId="1336" priority="1132" operator="equal">
      <formula>0</formula>
    </cfRule>
  </conditionalFormatting>
  <conditionalFormatting sqref="H587">
    <cfRule type="cellIs" dxfId="1335" priority="1133" operator="equal">
      <formula>0</formula>
    </cfRule>
  </conditionalFormatting>
  <conditionalFormatting sqref="H587">
    <cfRule type="cellIs" dxfId="1334" priority="1134" operator="equal">
      <formula>0</formula>
    </cfRule>
  </conditionalFormatting>
  <conditionalFormatting sqref="H587">
    <cfRule type="cellIs" dxfId="1333" priority="1135" operator="equal">
      <formula>0</formula>
    </cfRule>
  </conditionalFormatting>
  <conditionalFormatting sqref="H587">
    <cfRule type="cellIs" dxfId="1332" priority="1136" operator="equal">
      <formula>0</formula>
    </cfRule>
  </conditionalFormatting>
  <conditionalFormatting sqref="H587">
    <cfRule type="cellIs" dxfId="1331" priority="1137" operator="equal">
      <formula>0</formula>
    </cfRule>
  </conditionalFormatting>
  <conditionalFormatting sqref="H587">
    <cfRule type="cellIs" dxfId="1330" priority="1138" operator="equal">
      <formula>0</formula>
    </cfRule>
  </conditionalFormatting>
  <conditionalFormatting sqref="H587">
    <cfRule type="cellIs" dxfId="1329" priority="1139" operator="equal">
      <formula>0</formula>
    </cfRule>
  </conditionalFormatting>
  <conditionalFormatting sqref="H587">
    <cfRule type="cellIs" dxfId="1328" priority="1140" operator="equal">
      <formula>0</formula>
    </cfRule>
  </conditionalFormatting>
  <conditionalFormatting sqref="H587">
    <cfRule type="cellIs" dxfId="1327" priority="1141" operator="equal">
      <formula>0</formula>
    </cfRule>
  </conditionalFormatting>
  <conditionalFormatting sqref="H587">
    <cfRule type="cellIs" dxfId="1326" priority="1142" operator="equal">
      <formula>0</formula>
    </cfRule>
  </conditionalFormatting>
  <conditionalFormatting sqref="H587">
    <cfRule type="cellIs" dxfId="1325" priority="1143" operator="equal">
      <formula>0</formula>
    </cfRule>
  </conditionalFormatting>
  <conditionalFormatting sqref="H587">
    <cfRule type="cellIs" dxfId="1324" priority="1144" operator="equal">
      <formula>0</formula>
    </cfRule>
  </conditionalFormatting>
  <conditionalFormatting sqref="H587">
    <cfRule type="cellIs" dxfId="1323" priority="1145" operator="equal">
      <formula>0</formula>
    </cfRule>
  </conditionalFormatting>
  <conditionalFormatting sqref="H587">
    <cfRule type="cellIs" dxfId="1322" priority="1146" operator="equal">
      <formula>0</formula>
    </cfRule>
  </conditionalFormatting>
  <conditionalFormatting sqref="H587">
    <cfRule type="cellIs" dxfId="1321" priority="1147" operator="equal">
      <formula>0</formula>
    </cfRule>
  </conditionalFormatting>
  <conditionalFormatting sqref="H587">
    <cfRule type="cellIs" dxfId="1320" priority="1148" operator="equal">
      <formula>0</formula>
    </cfRule>
  </conditionalFormatting>
  <conditionalFormatting sqref="H587">
    <cfRule type="cellIs" dxfId="1319" priority="1149" operator="equal">
      <formula>0</formula>
    </cfRule>
  </conditionalFormatting>
  <conditionalFormatting sqref="H587">
    <cfRule type="cellIs" dxfId="1318" priority="1150" operator="equal">
      <formula>0</formula>
    </cfRule>
  </conditionalFormatting>
  <conditionalFormatting sqref="H587">
    <cfRule type="cellIs" dxfId="1317" priority="1151" operator="equal">
      <formula>0</formula>
    </cfRule>
  </conditionalFormatting>
  <conditionalFormatting sqref="H587">
    <cfRule type="cellIs" dxfId="1316" priority="1152" operator="equal">
      <formula>0</formula>
    </cfRule>
  </conditionalFormatting>
  <conditionalFormatting sqref="H587">
    <cfRule type="cellIs" dxfId="1315" priority="1153" operator="equal">
      <formula>0</formula>
    </cfRule>
  </conditionalFormatting>
  <conditionalFormatting sqref="H587">
    <cfRule type="cellIs" dxfId="1314" priority="1154" operator="equal">
      <formula>0</formula>
    </cfRule>
  </conditionalFormatting>
  <conditionalFormatting sqref="H587">
    <cfRule type="cellIs" dxfId="1313" priority="1155" operator="equal">
      <formula>0</formula>
    </cfRule>
  </conditionalFormatting>
  <conditionalFormatting sqref="H587">
    <cfRule type="cellIs" dxfId="1312" priority="1156" operator="equal">
      <formula>0</formula>
    </cfRule>
  </conditionalFormatting>
  <conditionalFormatting sqref="H587">
    <cfRule type="cellIs" dxfId="1311" priority="1157" operator="equal">
      <formula>0</formula>
    </cfRule>
  </conditionalFormatting>
  <conditionalFormatting sqref="H587">
    <cfRule type="cellIs" dxfId="1310" priority="1158" operator="equal">
      <formula>0</formula>
    </cfRule>
  </conditionalFormatting>
  <conditionalFormatting sqref="H587">
    <cfRule type="cellIs" dxfId="1309" priority="1159" operator="equal">
      <formula>0</formula>
    </cfRule>
  </conditionalFormatting>
  <conditionalFormatting sqref="H587">
    <cfRule type="cellIs" dxfId="1308" priority="1160" operator="equal">
      <formula>0</formula>
    </cfRule>
  </conditionalFormatting>
  <conditionalFormatting sqref="H587">
    <cfRule type="cellIs" dxfId="1307" priority="1161" operator="equal">
      <formula>0</formula>
    </cfRule>
  </conditionalFormatting>
  <conditionalFormatting sqref="H587">
    <cfRule type="cellIs" dxfId="1306" priority="1162" operator="equal">
      <formula>0</formula>
    </cfRule>
  </conditionalFormatting>
  <conditionalFormatting sqref="H587">
    <cfRule type="cellIs" dxfId="1305" priority="1163" operator="equal">
      <formula>0</formula>
    </cfRule>
  </conditionalFormatting>
  <conditionalFormatting sqref="H587">
    <cfRule type="cellIs" dxfId="1304" priority="1164" operator="equal">
      <formula>0</formula>
    </cfRule>
  </conditionalFormatting>
  <conditionalFormatting sqref="H587">
    <cfRule type="cellIs" dxfId="1303" priority="1165" operator="equal">
      <formula>0</formula>
    </cfRule>
  </conditionalFormatting>
  <conditionalFormatting sqref="H587">
    <cfRule type="cellIs" dxfId="1302" priority="1166" operator="equal">
      <formula>0</formula>
    </cfRule>
  </conditionalFormatting>
  <conditionalFormatting sqref="H587">
    <cfRule type="cellIs" dxfId="1301" priority="1167" operator="equal">
      <formula>0</formula>
    </cfRule>
  </conditionalFormatting>
  <conditionalFormatting sqref="H587">
    <cfRule type="cellIs" dxfId="1300" priority="1168" operator="equal">
      <formula>0</formula>
    </cfRule>
  </conditionalFormatting>
  <conditionalFormatting sqref="H587">
    <cfRule type="cellIs" dxfId="1299" priority="1169" operator="equal">
      <formula>0</formula>
    </cfRule>
  </conditionalFormatting>
  <conditionalFormatting sqref="H587">
    <cfRule type="cellIs" dxfId="1298" priority="1170" operator="equal">
      <formula>0</formula>
    </cfRule>
  </conditionalFormatting>
  <conditionalFormatting sqref="H587">
    <cfRule type="cellIs" dxfId="1297" priority="1171" operator="equal">
      <formula>0</formula>
    </cfRule>
  </conditionalFormatting>
  <conditionalFormatting sqref="H587">
    <cfRule type="cellIs" dxfId="1296" priority="1172" operator="equal">
      <formula>0</formula>
    </cfRule>
  </conditionalFormatting>
  <conditionalFormatting sqref="H587">
    <cfRule type="cellIs" dxfId="1295" priority="1173" operator="equal">
      <formula>0</formula>
    </cfRule>
  </conditionalFormatting>
  <conditionalFormatting sqref="H587">
    <cfRule type="cellIs" dxfId="1294" priority="1174" operator="equal">
      <formula>0</formula>
    </cfRule>
  </conditionalFormatting>
  <conditionalFormatting sqref="H587">
    <cfRule type="cellIs" dxfId="1293" priority="1175" operator="equal">
      <formula>0</formula>
    </cfRule>
  </conditionalFormatting>
  <conditionalFormatting sqref="H587">
    <cfRule type="cellIs" dxfId="1292" priority="1176" operator="equal">
      <formula>0</formula>
    </cfRule>
  </conditionalFormatting>
  <conditionalFormatting sqref="H587">
    <cfRule type="cellIs" dxfId="1291" priority="1177" operator="equal">
      <formula>0</formula>
    </cfRule>
  </conditionalFormatting>
  <conditionalFormatting sqref="H587">
    <cfRule type="cellIs" dxfId="1290" priority="1178" operator="equal">
      <formula>0</formula>
    </cfRule>
  </conditionalFormatting>
  <conditionalFormatting sqref="H587">
    <cfRule type="cellIs" dxfId="1289" priority="1179" operator="equal">
      <formula>0</formula>
    </cfRule>
  </conditionalFormatting>
  <conditionalFormatting sqref="H587">
    <cfRule type="cellIs" dxfId="1288" priority="1180" operator="equal">
      <formula>0</formula>
    </cfRule>
  </conditionalFormatting>
  <conditionalFormatting sqref="H587">
    <cfRule type="cellIs" dxfId="1287" priority="1181" operator="equal">
      <formula>0</formula>
    </cfRule>
  </conditionalFormatting>
  <conditionalFormatting sqref="H587">
    <cfRule type="cellIs" dxfId="1286" priority="1182" operator="equal">
      <formula>0</formula>
    </cfRule>
  </conditionalFormatting>
  <conditionalFormatting sqref="H587">
    <cfRule type="cellIs" dxfId="1285" priority="1183" operator="equal">
      <formula>0</formula>
    </cfRule>
  </conditionalFormatting>
  <conditionalFormatting sqref="H587">
    <cfRule type="cellIs" dxfId="1284" priority="1184" operator="equal">
      <formula>0</formula>
    </cfRule>
  </conditionalFormatting>
  <conditionalFormatting sqref="H587">
    <cfRule type="cellIs" dxfId="1283" priority="1185" operator="equal">
      <formula>0</formula>
    </cfRule>
  </conditionalFormatting>
  <conditionalFormatting sqref="H587">
    <cfRule type="cellIs" dxfId="1282" priority="1186" operator="equal">
      <formula>0</formula>
    </cfRule>
  </conditionalFormatting>
  <conditionalFormatting sqref="H587">
    <cfRule type="cellIs" dxfId="1281" priority="1187" operator="equal">
      <formula>0</formula>
    </cfRule>
  </conditionalFormatting>
  <conditionalFormatting sqref="H587">
    <cfRule type="cellIs" dxfId="1280" priority="1188" operator="equal">
      <formula>0</formula>
    </cfRule>
  </conditionalFormatting>
  <conditionalFormatting sqref="H587">
    <cfRule type="cellIs" dxfId="1279" priority="1189" operator="equal">
      <formula>0</formula>
    </cfRule>
  </conditionalFormatting>
  <conditionalFormatting sqref="H587">
    <cfRule type="cellIs" dxfId="1278" priority="1190" operator="equal">
      <formula>0</formula>
    </cfRule>
  </conditionalFormatting>
  <conditionalFormatting sqref="H587">
    <cfRule type="cellIs" dxfId="1277" priority="1191" operator="equal">
      <formula>0</formula>
    </cfRule>
  </conditionalFormatting>
  <conditionalFormatting sqref="H587">
    <cfRule type="cellIs" dxfId="1276" priority="1192" operator="equal">
      <formula>0</formula>
    </cfRule>
  </conditionalFormatting>
  <conditionalFormatting sqref="H587">
    <cfRule type="cellIs" dxfId="1275" priority="1193" operator="equal">
      <formula>0</formula>
    </cfRule>
  </conditionalFormatting>
  <conditionalFormatting sqref="H587">
    <cfRule type="cellIs" dxfId="1274" priority="1194" operator="equal">
      <formula>0</formula>
    </cfRule>
  </conditionalFormatting>
  <conditionalFormatting sqref="H631">
    <cfRule type="cellIs" dxfId="1273" priority="1195" operator="equal">
      <formula>0</formula>
    </cfRule>
  </conditionalFormatting>
  <conditionalFormatting sqref="H631">
    <cfRule type="cellIs" dxfId="1272" priority="1196" operator="equal">
      <formula>0</formula>
    </cfRule>
  </conditionalFormatting>
  <conditionalFormatting sqref="H631">
    <cfRule type="cellIs" dxfId="1271" priority="1197" operator="equal">
      <formula>0</formula>
    </cfRule>
  </conditionalFormatting>
  <conditionalFormatting sqref="H631">
    <cfRule type="cellIs" dxfId="1270" priority="1198" operator="equal">
      <formula>0</formula>
    </cfRule>
  </conditionalFormatting>
  <conditionalFormatting sqref="H631">
    <cfRule type="cellIs" dxfId="1269" priority="1199" operator="equal">
      <formula>0</formula>
    </cfRule>
  </conditionalFormatting>
  <conditionalFormatting sqref="H631">
    <cfRule type="cellIs" dxfId="1268" priority="1200" operator="equal">
      <formula>0</formula>
    </cfRule>
  </conditionalFormatting>
  <conditionalFormatting sqref="H631">
    <cfRule type="cellIs" dxfId="1267" priority="1201" operator="equal">
      <formula>0</formula>
    </cfRule>
  </conditionalFormatting>
  <conditionalFormatting sqref="H631">
    <cfRule type="cellIs" dxfId="1266" priority="1202" operator="equal">
      <formula>0</formula>
    </cfRule>
  </conditionalFormatting>
  <conditionalFormatting sqref="H631">
    <cfRule type="cellIs" dxfId="1265" priority="1203" operator="equal">
      <formula>0</formula>
    </cfRule>
  </conditionalFormatting>
  <conditionalFormatting sqref="H631">
    <cfRule type="cellIs" dxfId="1264" priority="1204" operator="equal">
      <formula>0</formula>
    </cfRule>
  </conditionalFormatting>
  <conditionalFormatting sqref="H631">
    <cfRule type="cellIs" dxfId="1263" priority="1205" operator="equal">
      <formula>0</formula>
    </cfRule>
  </conditionalFormatting>
  <conditionalFormatting sqref="H631">
    <cfRule type="cellIs" dxfId="1262" priority="1206" operator="equal">
      <formula>0</formula>
    </cfRule>
  </conditionalFormatting>
  <conditionalFormatting sqref="H631">
    <cfRule type="cellIs" dxfId="1261" priority="1207" operator="equal">
      <formula>0</formula>
    </cfRule>
  </conditionalFormatting>
  <conditionalFormatting sqref="H631">
    <cfRule type="cellIs" dxfId="1260" priority="1208" operator="equal">
      <formula>0</formula>
    </cfRule>
  </conditionalFormatting>
  <conditionalFormatting sqref="H631">
    <cfRule type="cellIs" dxfId="1259" priority="1209" operator="equal">
      <formula>0</formula>
    </cfRule>
  </conditionalFormatting>
  <conditionalFormatting sqref="H631">
    <cfRule type="cellIs" dxfId="1258" priority="1210" operator="equal">
      <formula>0</formula>
    </cfRule>
  </conditionalFormatting>
  <conditionalFormatting sqref="H631">
    <cfRule type="cellIs" dxfId="1257" priority="1211" operator="equal">
      <formula>0</formula>
    </cfRule>
  </conditionalFormatting>
  <conditionalFormatting sqref="H631">
    <cfRule type="cellIs" dxfId="1256" priority="1212" operator="equal">
      <formula>0</formula>
    </cfRule>
  </conditionalFormatting>
  <conditionalFormatting sqref="H631">
    <cfRule type="cellIs" dxfId="1255" priority="1213" operator="equal">
      <formula>0</formula>
    </cfRule>
  </conditionalFormatting>
  <conditionalFormatting sqref="H631">
    <cfRule type="cellIs" dxfId="1254" priority="1214" operator="equal">
      <formula>0</formula>
    </cfRule>
  </conditionalFormatting>
  <conditionalFormatting sqref="H631">
    <cfRule type="cellIs" dxfId="1253" priority="1215" operator="equal">
      <formula>0</formula>
    </cfRule>
  </conditionalFormatting>
  <conditionalFormatting sqref="H631">
    <cfRule type="cellIs" dxfId="1252" priority="1216" operator="equal">
      <formula>0</formula>
    </cfRule>
  </conditionalFormatting>
  <conditionalFormatting sqref="H631">
    <cfRule type="cellIs" dxfId="1251" priority="1217" operator="equal">
      <formula>0</formula>
    </cfRule>
  </conditionalFormatting>
  <conditionalFormatting sqref="H631">
    <cfRule type="cellIs" dxfId="1250" priority="1218" operator="equal">
      <formula>0</formula>
    </cfRule>
  </conditionalFormatting>
  <conditionalFormatting sqref="H631">
    <cfRule type="cellIs" dxfId="1249" priority="1219" operator="equal">
      <formula>0</formula>
    </cfRule>
  </conditionalFormatting>
  <conditionalFormatting sqref="H631">
    <cfRule type="cellIs" dxfId="1248" priority="1220" operator="equal">
      <formula>0</formula>
    </cfRule>
  </conditionalFormatting>
  <conditionalFormatting sqref="H631">
    <cfRule type="cellIs" dxfId="1247" priority="1221" operator="equal">
      <formula>0</formula>
    </cfRule>
  </conditionalFormatting>
  <conditionalFormatting sqref="H631">
    <cfRule type="cellIs" dxfId="1246" priority="1222" operator="equal">
      <formula>0</formula>
    </cfRule>
  </conditionalFormatting>
  <conditionalFormatting sqref="H631">
    <cfRule type="cellIs" dxfId="1245" priority="1223" operator="equal">
      <formula>0</formula>
    </cfRule>
  </conditionalFormatting>
  <conditionalFormatting sqref="H631">
    <cfRule type="cellIs" dxfId="1244" priority="1224" operator="equal">
      <formula>0</formula>
    </cfRule>
  </conditionalFormatting>
  <conditionalFormatting sqref="H631">
    <cfRule type="cellIs" dxfId="1243" priority="1225" operator="equal">
      <formula>0</formula>
    </cfRule>
  </conditionalFormatting>
  <conditionalFormatting sqref="H631">
    <cfRule type="cellIs" dxfId="1242" priority="1226" operator="equal">
      <formula>0</formula>
    </cfRule>
  </conditionalFormatting>
  <conditionalFormatting sqref="H631">
    <cfRule type="cellIs" dxfId="1241" priority="1227" operator="equal">
      <formula>0</formula>
    </cfRule>
  </conditionalFormatting>
  <conditionalFormatting sqref="H631">
    <cfRule type="cellIs" dxfId="1240" priority="1228" operator="equal">
      <formula>0</formula>
    </cfRule>
  </conditionalFormatting>
  <conditionalFormatting sqref="H631">
    <cfRule type="cellIs" dxfId="1239" priority="1229" operator="equal">
      <formula>0</formula>
    </cfRule>
  </conditionalFormatting>
  <conditionalFormatting sqref="H631">
    <cfRule type="cellIs" dxfId="1238" priority="1230" operator="equal">
      <formula>0</formula>
    </cfRule>
  </conditionalFormatting>
  <conditionalFormatting sqref="H631">
    <cfRule type="cellIs" dxfId="1237" priority="1231" operator="equal">
      <formula>0</formula>
    </cfRule>
  </conditionalFormatting>
  <conditionalFormatting sqref="H631">
    <cfRule type="cellIs" dxfId="1236" priority="1232" operator="equal">
      <formula>0</formula>
    </cfRule>
  </conditionalFormatting>
  <conditionalFormatting sqref="H631">
    <cfRule type="cellIs" dxfId="1235" priority="1233" operator="equal">
      <formula>0</formula>
    </cfRule>
  </conditionalFormatting>
  <conditionalFormatting sqref="H631">
    <cfRule type="cellIs" dxfId="1234" priority="1234" operator="equal">
      <formula>0</formula>
    </cfRule>
  </conditionalFormatting>
  <conditionalFormatting sqref="H631">
    <cfRule type="cellIs" dxfId="1233" priority="1235" operator="equal">
      <formula>0</formula>
    </cfRule>
  </conditionalFormatting>
  <conditionalFormatting sqref="H631">
    <cfRule type="cellIs" dxfId="1232" priority="1236" operator="equal">
      <formula>0</formula>
    </cfRule>
  </conditionalFormatting>
  <conditionalFormatting sqref="H631">
    <cfRule type="cellIs" dxfId="1231" priority="1237" operator="equal">
      <formula>0</formula>
    </cfRule>
  </conditionalFormatting>
  <conditionalFormatting sqref="H631">
    <cfRule type="cellIs" dxfId="1230" priority="1238" operator="equal">
      <formula>0</formula>
    </cfRule>
  </conditionalFormatting>
  <conditionalFormatting sqref="H631">
    <cfRule type="cellIs" dxfId="1229" priority="1239" operator="equal">
      <formula>0</formula>
    </cfRule>
  </conditionalFormatting>
  <conditionalFormatting sqref="H631">
    <cfRule type="cellIs" dxfId="1228" priority="1240" operator="equal">
      <formula>0</formula>
    </cfRule>
  </conditionalFormatting>
  <conditionalFormatting sqref="H631">
    <cfRule type="cellIs" dxfId="1227" priority="1241" operator="equal">
      <formula>0</formula>
    </cfRule>
  </conditionalFormatting>
  <conditionalFormatting sqref="H631">
    <cfRule type="cellIs" dxfId="1226" priority="1242" operator="equal">
      <formula>0</formula>
    </cfRule>
  </conditionalFormatting>
  <conditionalFormatting sqref="H631">
    <cfRule type="cellIs" dxfId="1225" priority="1243" operator="equal">
      <formula>0</formula>
    </cfRule>
  </conditionalFormatting>
  <conditionalFormatting sqref="H631">
    <cfRule type="cellIs" dxfId="1224" priority="1244" operator="equal">
      <formula>0</formula>
    </cfRule>
  </conditionalFormatting>
  <conditionalFormatting sqref="H631">
    <cfRule type="cellIs" dxfId="1223" priority="1245" operator="equal">
      <formula>0</formula>
    </cfRule>
  </conditionalFormatting>
  <conditionalFormatting sqref="H631">
    <cfRule type="cellIs" dxfId="1222" priority="1246" operator="equal">
      <formula>0</formula>
    </cfRule>
  </conditionalFormatting>
  <conditionalFormatting sqref="H631">
    <cfRule type="cellIs" dxfId="1221" priority="1247" operator="equal">
      <formula>0</formula>
    </cfRule>
  </conditionalFormatting>
  <conditionalFormatting sqref="H631">
    <cfRule type="cellIs" dxfId="1220" priority="1248" operator="equal">
      <formula>0</formula>
    </cfRule>
  </conditionalFormatting>
  <conditionalFormatting sqref="H631">
    <cfRule type="cellIs" dxfId="1219" priority="1249" operator="equal">
      <formula>0</formula>
    </cfRule>
  </conditionalFormatting>
  <conditionalFormatting sqref="H631">
    <cfRule type="cellIs" dxfId="1218" priority="1250" operator="equal">
      <formula>0</formula>
    </cfRule>
  </conditionalFormatting>
  <conditionalFormatting sqref="H631">
    <cfRule type="cellIs" dxfId="1217" priority="1251" operator="equal">
      <formula>0</formula>
    </cfRule>
  </conditionalFormatting>
  <conditionalFormatting sqref="H631">
    <cfRule type="cellIs" dxfId="1216" priority="1252" operator="equal">
      <formula>0</formula>
    </cfRule>
  </conditionalFormatting>
  <conditionalFormatting sqref="H631">
    <cfRule type="cellIs" dxfId="1215" priority="1253" operator="equal">
      <formula>0</formula>
    </cfRule>
  </conditionalFormatting>
  <conditionalFormatting sqref="H631">
    <cfRule type="cellIs" dxfId="1214" priority="1254" operator="equal">
      <formula>0</formula>
    </cfRule>
  </conditionalFormatting>
  <conditionalFormatting sqref="H631">
    <cfRule type="cellIs" dxfId="1213" priority="1255" operator="equal">
      <formula>0</formula>
    </cfRule>
  </conditionalFormatting>
  <conditionalFormatting sqref="H631">
    <cfRule type="cellIs" dxfId="1212" priority="1256" operator="equal">
      <formula>0</formula>
    </cfRule>
  </conditionalFormatting>
  <conditionalFormatting sqref="H631">
    <cfRule type="cellIs" dxfId="1211" priority="1257" operator="equal">
      <formula>0</formula>
    </cfRule>
  </conditionalFormatting>
  <conditionalFormatting sqref="H631">
    <cfRule type="cellIs" dxfId="1210" priority="1258" operator="equal">
      <formula>0</formula>
    </cfRule>
  </conditionalFormatting>
  <conditionalFormatting sqref="H631">
    <cfRule type="cellIs" dxfId="1209" priority="1259" operator="equal">
      <formula>0</formula>
    </cfRule>
  </conditionalFormatting>
  <conditionalFormatting sqref="H631">
    <cfRule type="cellIs" dxfId="1208" priority="1260" operator="equal">
      <formula>0</formula>
    </cfRule>
  </conditionalFormatting>
  <conditionalFormatting sqref="H631">
    <cfRule type="cellIs" dxfId="1207" priority="1261" operator="equal">
      <formula>0</formula>
    </cfRule>
  </conditionalFormatting>
  <conditionalFormatting sqref="H675">
    <cfRule type="cellIs" dxfId="1206" priority="1262" operator="equal">
      <formula>0</formula>
    </cfRule>
  </conditionalFormatting>
  <conditionalFormatting sqref="H675">
    <cfRule type="cellIs" dxfId="1205" priority="1263" operator="equal">
      <formula>0</formula>
    </cfRule>
  </conditionalFormatting>
  <conditionalFormatting sqref="H675">
    <cfRule type="cellIs" dxfId="1204" priority="1264" operator="equal">
      <formula>0</formula>
    </cfRule>
  </conditionalFormatting>
  <conditionalFormatting sqref="H675">
    <cfRule type="cellIs" dxfId="1203" priority="1265" operator="equal">
      <formula>0</formula>
    </cfRule>
  </conditionalFormatting>
  <conditionalFormatting sqref="H675">
    <cfRule type="cellIs" dxfId="1202" priority="1266" operator="equal">
      <formula>0</formula>
    </cfRule>
  </conditionalFormatting>
  <conditionalFormatting sqref="H675">
    <cfRule type="cellIs" dxfId="1201" priority="1267" operator="equal">
      <formula>0</formula>
    </cfRule>
  </conditionalFormatting>
  <conditionalFormatting sqref="H675">
    <cfRule type="cellIs" dxfId="1200" priority="1268" operator="equal">
      <formula>0</formula>
    </cfRule>
  </conditionalFormatting>
  <conditionalFormatting sqref="H675">
    <cfRule type="cellIs" dxfId="1199" priority="1269" operator="equal">
      <formula>0</formula>
    </cfRule>
  </conditionalFormatting>
  <conditionalFormatting sqref="H675">
    <cfRule type="cellIs" dxfId="1198" priority="1270" operator="equal">
      <formula>0</formula>
    </cfRule>
  </conditionalFormatting>
  <conditionalFormatting sqref="H675">
    <cfRule type="cellIs" dxfId="1197" priority="1271" operator="equal">
      <formula>0</formula>
    </cfRule>
  </conditionalFormatting>
  <conditionalFormatting sqref="H675">
    <cfRule type="cellIs" dxfId="1196" priority="1272" operator="equal">
      <formula>0</formula>
    </cfRule>
  </conditionalFormatting>
  <conditionalFormatting sqref="H675">
    <cfRule type="cellIs" dxfId="1195" priority="1273" operator="equal">
      <formula>0</formula>
    </cfRule>
  </conditionalFormatting>
  <conditionalFormatting sqref="H675">
    <cfRule type="cellIs" dxfId="1194" priority="1274" operator="equal">
      <formula>0</formula>
    </cfRule>
  </conditionalFormatting>
  <conditionalFormatting sqref="H675">
    <cfRule type="cellIs" dxfId="1193" priority="1275" operator="equal">
      <formula>0</formula>
    </cfRule>
  </conditionalFormatting>
  <conditionalFormatting sqref="H675">
    <cfRule type="cellIs" dxfId="1192" priority="1276" operator="equal">
      <formula>0</formula>
    </cfRule>
  </conditionalFormatting>
  <conditionalFormatting sqref="H675">
    <cfRule type="cellIs" dxfId="1191" priority="1277" operator="equal">
      <formula>0</formula>
    </cfRule>
  </conditionalFormatting>
  <conditionalFormatting sqref="H675">
    <cfRule type="cellIs" dxfId="1190" priority="1278" operator="equal">
      <formula>0</formula>
    </cfRule>
  </conditionalFormatting>
  <conditionalFormatting sqref="H675">
    <cfRule type="cellIs" dxfId="1189" priority="1279" operator="equal">
      <formula>0</formula>
    </cfRule>
  </conditionalFormatting>
  <conditionalFormatting sqref="H675">
    <cfRule type="cellIs" dxfId="1188" priority="1280" operator="equal">
      <formula>0</formula>
    </cfRule>
  </conditionalFormatting>
  <conditionalFormatting sqref="H675">
    <cfRule type="cellIs" dxfId="1187" priority="1281" operator="equal">
      <formula>0</formula>
    </cfRule>
  </conditionalFormatting>
  <conditionalFormatting sqref="H675">
    <cfRule type="cellIs" dxfId="1186" priority="1282" operator="equal">
      <formula>0</formula>
    </cfRule>
  </conditionalFormatting>
  <conditionalFormatting sqref="H675">
    <cfRule type="cellIs" dxfId="1185" priority="1283" operator="equal">
      <formula>0</formula>
    </cfRule>
  </conditionalFormatting>
  <conditionalFormatting sqref="H675">
    <cfRule type="cellIs" dxfId="1184" priority="1284" operator="equal">
      <formula>0</formula>
    </cfRule>
  </conditionalFormatting>
  <conditionalFormatting sqref="H675">
    <cfRule type="cellIs" dxfId="1183" priority="1285" operator="equal">
      <formula>0</formula>
    </cfRule>
  </conditionalFormatting>
  <conditionalFormatting sqref="H675">
    <cfRule type="cellIs" dxfId="1182" priority="1286" operator="equal">
      <formula>0</formula>
    </cfRule>
  </conditionalFormatting>
  <conditionalFormatting sqref="H675">
    <cfRule type="cellIs" dxfId="1181" priority="1287" operator="equal">
      <formula>0</formula>
    </cfRule>
  </conditionalFormatting>
  <conditionalFormatting sqref="H675">
    <cfRule type="cellIs" dxfId="1180" priority="1288" operator="equal">
      <formula>0</formula>
    </cfRule>
  </conditionalFormatting>
  <conditionalFormatting sqref="H675">
    <cfRule type="cellIs" dxfId="1179" priority="1289" operator="equal">
      <formula>0</formula>
    </cfRule>
  </conditionalFormatting>
  <conditionalFormatting sqref="H675">
    <cfRule type="cellIs" dxfId="1178" priority="1290" operator="equal">
      <formula>0</formula>
    </cfRule>
  </conditionalFormatting>
  <conditionalFormatting sqref="H675">
    <cfRule type="cellIs" dxfId="1177" priority="1291" operator="equal">
      <formula>0</formula>
    </cfRule>
  </conditionalFormatting>
  <conditionalFormatting sqref="H675">
    <cfRule type="cellIs" dxfId="1176" priority="1292" operator="equal">
      <formula>0</formula>
    </cfRule>
  </conditionalFormatting>
  <conditionalFormatting sqref="H675">
    <cfRule type="cellIs" dxfId="1175" priority="1293" operator="equal">
      <formula>0</formula>
    </cfRule>
  </conditionalFormatting>
  <conditionalFormatting sqref="H675">
    <cfRule type="cellIs" dxfId="1174" priority="1294" operator="equal">
      <formula>0</formula>
    </cfRule>
  </conditionalFormatting>
  <conditionalFormatting sqref="H675">
    <cfRule type="cellIs" dxfId="1173" priority="1295" operator="equal">
      <formula>0</formula>
    </cfRule>
  </conditionalFormatting>
  <conditionalFormatting sqref="H675">
    <cfRule type="cellIs" dxfId="1172" priority="1296" operator="equal">
      <formula>0</formula>
    </cfRule>
  </conditionalFormatting>
  <conditionalFormatting sqref="H675">
    <cfRule type="cellIs" dxfId="1171" priority="1297" operator="equal">
      <formula>0</formula>
    </cfRule>
  </conditionalFormatting>
  <conditionalFormatting sqref="H675">
    <cfRule type="cellIs" dxfId="1170" priority="1298" operator="equal">
      <formula>0</formula>
    </cfRule>
  </conditionalFormatting>
  <conditionalFormatting sqref="H675">
    <cfRule type="cellIs" dxfId="1169" priority="1299" operator="equal">
      <formula>0</formula>
    </cfRule>
  </conditionalFormatting>
  <conditionalFormatting sqref="H675">
    <cfRule type="cellIs" dxfId="1168" priority="1300" operator="equal">
      <formula>0</formula>
    </cfRule>
  </conditionalFormatting>
  <conditionalFormatting sqref="H675">
    <cfRule type="cellIs" dxfId="1167" priority="1301" operator="equal">
      <formula>0</formula>
    </cfRule>
  </conditionalFormatting>
  <conditionalFormatting sqref="H675">
    <cfRule type="cellIs" dxfId="1166" priority="1302" operator="equal">
      <formula>0</formula>
    </cfRule>
  </conditionalFormatting>
  <conditionalFormatting sqref="H675">
    <cfRule type="cellIs" dxfId="1165" priority="1303" operator="equal">
      <formula>0</formula>
    </cfRule>
  </conditionalFormatting>
  <conditionalFormatting sqref="H675">
    <cfRule type="cellIs" dxfId="1164" priority="1304" operator="equal">
      <formula>0</formula>
    </cfRule>
  </conditionalFormatting>
  <conditionalFormatting sqref="H675">
    <cfRule type="cellIs" dxfId="1163" priority="1305" operator="equal">
      <formula>0</formula>
    </cfRule>
  </conditionalFormatting>
  <conditionalFormatting sqref="H675">
    <cfRule type="cellIs" dxfId="1162" priority="1306" operator="equal">
      <formula>0</formula>
    </cfRule>
  </conditionalFormatting>
  <conditionalFormatting sqref="H675">
    <cfRule type="cellIs" dxfId="1161" priority="1307" operator="equal">
      <formula>0</formula>
    </cfRule>
  </conditionalFormatting>
  <conditionalFormatting sqref="H675">
    <cfRule type="cellIs" dxfId="1160" priority="1308" operator="equal">
      <formula>0</formula>
    </cfRule>
  </conditionalFormatting>
  <conditionalFormatting sqref="H675">
    <cfRule type="cellIs" dxfId="1159" priority="1309" operator="equal">
      <formula>0</formula>
    </cfRule>
  </conditionalFormatting>
  <conditionalFormatting sqref="H675">
    <cfRule type="cellIs" dxfId="1158" priority="1310" operator="equal">
      <formula>0</formula>
    </cfRule>
  </conditionalFormatting>
  <conditionalFormatting sqref="H675">
    <cfRule type="cellIs" dxfId="1157" priority="1311" operator="equal">
      <formula>0</formula>
    </cfRule>
  </conditionalFormatting>
  <conditionalFormatting sqref="H675">
    <cfRule type="cellIs" dxfId="1156" priority="1312" operator="equal">
      <formula>0</formula>
    </cfRule>
  </conditionalFormatting>
  <conditionalFormatting sqref="H675">
    <cfRule type="cellIs" dxfId="1155" priority="1313" operator="equal">
      <formula>0</formula>
    </cfRule>
  </conditionalFormatting>
  <conditionalFormatting sqref="H675">
    <cfRule type="cellIs" dxfId="1154" priority="1314" operator="equal">
      <formula>0</formula>
    </cfRule>
  </conditionalFormatting>
  <conditionalFormatting sqref="H675">
    <cfRule type="cellIs" dxfId="1153" priority="1315" operator="equal">
      <formula>0</formula>
    </cfRule>
  </conditionalFormatting>
  <conditionalFormatting sqref="H675">
    <cfRule type="cellIs" dxfId="1152" priority="1316" operator="equal">
      <formula>0</formula>
    </cfRule>
  </conditionalFormatting>
  <conditionalFormatting sqref="H675">
    <cfRule type="cellIs" dxfId="1151" priority="1317" operator="equal">
      <formula>0</formula>
    </cfRule>
  </conditionalFormatting>
  <conditionalFormatting sqref="H675">
    <cfRule type="cellIs" dxfId="1150" priority="1318" operator="equal">
      <formula>0</formula>
    </cfRule>
  </conditionalFormatting>
  <conditionalFormatting sqref="H675">
    <cfRule type="cellIs" dxfId="1149" priority="1319" operator="equal">
      <formula>0</formula>
    </cfRule>
  </conditionalFormatting>
  <conditionalFormatting sqref="H675">
    <cfRule type="cellIs" dxfId="1148" priority="1320" operator="equal">
      <formula>0</formula>
    </cfRule>
  </conditionalFormatting>
  <conditionalFormatting sqref="H675">
    <cfRule type="cellIs" dxfId="1147" priority="1321" operator="equal">
      <formula>0</formula>
    </cfRule>
  </conditionalFormatting>
  <conditionalFormatting sqref="H675">
    <cfRule type="cellIs" dxfId="1146" priority="1322" operator="equal">
      <formula>0</formula>
    </cfRule>
  </conditionalFormatting>
  <conditionalFormatting sqref="H675">
    <cfRule type="cellIs" dxfId="1145" priority="1323" operator="equal">
      <formula>0</formula>
    </cfRule>
  </conditionalFormatting>
  <conditionalFormatting sqref="H675">
    <cfRule type="cellIs" dxfId="1144" priority="1324" operator="equal">
      <formula>0</formula>
    </cfRule>
  </conditionalFormatting>
  <conditionalFormatting sqref="H675">
    <cfRule type="cellIs" dxfId="1143" priority="1325" operator="equal">
      <formula>0</formula>
    </cfRule>
  </conditionalFormatting>
  <conditionalFormatting sqref="H675">
    <cfRule type="cellIs" dxfId="1142" priority="1326" operator="equal">
      <formula>0</formula>
    </cfRule>
  </conditionalFormatting>
  <conditionalFormatting sqref="H675">
    <cfRule type="cellIs" dxfId="1141" priority="1327" operator="equal">
      <formula>0</formula>
    </cfRule>
  </conditionalFormatting>
  <conditionalFormatting sqref="H675">
    <cfRule type="cellIs" dxfId="1140" priority="1328" operator="equal">
      <formula>0</formula>
    </cfRule>
  </conditionalFormatting>
  <conditionalFormatting sqref="H103">
    <cfRule type="cellIs" dxfId="1139" priority="1329" operator="equal">
      <formula>0</formula>
    </cfRule>
  </conditionalFormatting>
  <conditionalFormatting sqref="H103">
    <cfRule type="cellIs" dxfId="1138" priority="1330" operator="equal">
      <formula>0</formula>
    </cfRule>
  </conditionalFormatting>
  <conditionalFormatting sqref="H103">
    <cfRule type="cellIs" dxfId="1137" priority="1331" operator="equal">
      <formula>0</formula>
    </cfRule>
  </conditionalFormatting>
  <conditionalFormatting sqref="H103">
    <cfRule type="cellIs" dxfId="1136" priority="1332" operator="equal">
      <formula>0</formula>
    </cfRule>
  </conditionalFormatting>
  <conditionalFormatting sqref="H103">
    <cfRule type="cellIs" dxfId="1135" priority="1333" operator="equal">
      <formula>0</formula>
    </cfRule>
  </conditionalFormatting>
  <conditionalFormatting sqref="H103">
    <cfRule type="cellIs" dxfId="1134" priority="1334" operator="equal">
      <formula>0</formula>
    </cfRule>
  </conditionalFormatting>
  <conditionalFormatting sqref="H103">
    <cfRule type="cellIs" dxfId="1133" priority="1335" operator="equal">
      <formula>0</formula>
    </cfRule>
  </conditionalFormatting>
  <conditionalFormatting sqref="H103">
    <cfRule type="cellIs" dxfId="1132" priority="1336" operator="equal">
      <formula>0</formula>
    </cfRule>
  </conditionalFormatting>
  <conditionalFormatting sqref="H103">
    <cfRule type="cellIs" dxfId="1131" priority="1337" operator="equal">
      <formula>0</formula>
    </cfRule>
  </conditionalFormatting>
  <conditionalFormatting sqref="H103">
    <cfRule type="cellIs" dxfId="1130" priority="1338" operator="equal">
      <formula>0</formula>
    </cfRule>
  </conditionalFormatting>
  <conditionalFormatting sqref="H103">
    <cfRule type="cellIs" dxfId="1129" priority="1339" operator="equal">
      <formula>0</formula>
    </cfRule>
  </conditionalFormatting>
  <conditionalFormatting sqref="H103">
    <cfRule type="cellIs" dxfId="1128" priority="1340" operator="equal">
      <formula>0</formula>
    </cfRule>
  </conditionalFormatting>
  <conditionalFormatting sqref="H103">
    <cfRule type="cellIs" dxfId="1127" priority="1341" operator="equal">
      <formula>0</formula>
    </cfRule>
  </conditionalFormatting>
  <conditionalFormatting sqref="H103">
    <cfRule type="cellIs" dxfId="1126" priority="1342" operator="equal">
      <formula>0</formula>
    </cfRule>
  </conditionalFormatting>
  <conditionalFormatting sqref="H103">
    <cfRule type="cellIs" dxfId="1125" priority="1343" operator="equal">
      <formula>0</formula>
    </cfRule>
  </conditionalFormatting>
  <conditionalFormatting sqref="H103">
    <cfRule type="cellIs" dxfId="1124" priority="1344" operator="equal">
      <formula>0</formula>
    </cfRule>
  </conditionalFormatting>
  <conditionalFormatting sqref="H103">
    <cfRule type="cellIs" dxfId="1123" priority="1345" operator="equal">
      <formula>0</formula>
    </cfRule>
  </conditionalFormatting>
  <conditionalFormatting sqref="H103">
    <cfRule type="cellIs" dxfId="1122" priority="1346" operator="equal">
      <formula>0</formula>
    </cfRule>
  </conditionalFormatting>
  <conditionalFormatting sqref="H103">
    <cfRule type="cellIs" dxfId="1121" priority="1347" operator="equal">
      <formula>0</formula>
    </cfRule>
  </conditionalFormatting>
  <conditionalFormatting sqref="H103">
    <cfRule type="cellIs" dxfId="1120" priority="1348" operator="equal">
      <formula>0</formula>
    </cfRule>
  </conditionalFormatting>
  <conditionalFormatting sqref="H103">
    <cfRule type="cellIs" dxfId="1119" priority="1349" operator="equal">
      <formula>0</formula>
    </cfRule>
  </conditionalFormatting>
  <conditionalFormatting sqref="H103">
    <cfRule type="cellIs" dxfId="1118" priority="1350" operator="equal">
      <formula>0</formula>
    </cfRule>
  </conditionalFormatting>
  <conditionalFormatting sqref="H103">
    <cfRule type="cellIs" dxfId="1117" priority="1351" operator="equal">
      <formula>0</formula>
    </cfRule>
  </conditionalFormatting>
  <conditionalFormatting sqref="H103">
    <cfRule type="cellIs" dxfId="1116" priority="1352" operator="equal">
      <formula>0</formula>
    </cfRule>
  </conditionalFormatting>
  <conditionalFormatting sqref="H147">
    <cfRule type="cellIs" dxfId="1115" priority="1353" operator="equal">
      <formula>0</formula>
    </cfRule>
  </conditionalFormatting>
  <conditionalFormatting sqref="H147">
    <cfRule type="cellIs" dxfId="1114" priority="1354" operator="equal">
      <formula>0</formula>
    </cfRule>
  </conditionalFormatting>
  <conditionalFormatting sqref="H147">
    <cfRule type="cellIs" dxfId="1113" priority="1355" operator="equal">
      <formula>0</formula>
    </cfRule>
  </conditionalFormatting>
  <conditionalFormatting sqref="H147">
    <cfRule type="cellIs" dxfId="1112" priority="1356" operator="equal">
      <formula>0</formula>
    </cfRule>
  </conditionalFormatting>
  <conditionalFormatting sqref="H147">
    <cfRule type="cellIs" dxfId="1111" priority="1357" operator="equal">
      <formula>0</formula>
    </cfRule>
  </conditionalFormatting>
  <conditionalFormatting sqref="H147">
    <cfRule type="cellIs" dxfId="1110" priority="1358" operator="equal">
      <formula>0</formula>
    </cfRule>
  </conditionalFormatting>
  <conditionalFormatting sqref="H147">
    <cfRule type="cellIs" dxfId="1109" priority="1359" operator="equal">
      <formula>0</formula>
    </cfRule>
  </conditionalFormatting>
  <conditionalFormatting sqref="H147">
    <cfRule type="cellIs" dxfId="1108" priority="1360" operator="equal">
      <formula>0</formula>
    </cfRule>
  </conditionalFormatting>
  <conditionalFormatting sqref="H147">
    <cfRule type="cellIs" dxfId="1107" priority="1361" operator="equal">
      <formula>0</formula>
    </cfRule>
  </conditionalFormatting>
  <conditionalFormatting sqref="H147">
    <cfRule type="cellIs" dxfId="1106" priority="1362" operator="equal">
      <formula>0</formula>
    </cfRule>
  </conditionalFormatting>
  <conditionalFormatting sqref="H147">
    <cfRule type="cellIs" dxfId="1105" priority="1363" operator="equal">
      <formula>0</formula>
    </cfRule>
  </conditionalFormatting>
  <conditionalFormatting sqref="H147">
    <cfRule type="cellIs" dxfId="1104" priority="1364" operator="equal">
      <formula>0</formula>
    </cfRule>
  </conditionalFormatting>
  <conditionalFormatting sqref="H147">
    <cfRule type="cellIs" dxfId="1103" priority="1365" operator="equal">
      <formula>0</formula>
    </cfRule>
  </conditionalFormatting>
  <conditionalFormatting sqref="H147">
    <cfRule type="cellIs" dxfId="1102" priority="1366" operator="equal">
      <formula>0</formula>
    </cfRule>
  </conditionalFormatting>
  <conditionalFormatting sqref="H147">
    <cfRule type="cellIs" dxfId="1101" priority="1367" operator="equal">
      <formula>0</formula>
    </cfRule>
  </conditionalFormatting>
  <conditionalFormatting sqref="H147">
    <cfRule type="cellIs" dxfId="1100" priority="1368" operator="equal">
      <formula>0</formula>
    </cfRule>
  </conditionalFormatting>
  <conditionalFormatting sqref="H147">
    <cfRule type="cellIs" dxfId="1099" priority="1369" operator="equal">
      <formula>0</formula>
    </cfRule>
  </conditionalFormatting>
  <conditionalFormatting sqref="H147">
    <cfRule type="cellIs" dxfId="1098" priority="1370" operator="equal">
      <formula>0</formula>
    </cfRule>
  </conditionalFormatting>
  <conditionalFormatting sqref="H147">
    <cfRule type="cellIs" dxfId="1097" priority="1371" operator="equal">
      <formula>0</formula>
    </cfRule>
  </conditionalFormatting>
  <conditionalFormatting sqref="H147">
    <cfRule type="cellIs" dxfId="1096" priority="1372" operator="equal">
      <formula>0</formula>
    </cfRule>
  </conditionalFormatting>
  <conditionalFormatting sqref="H147">
    <cfRule type="cellIs" dxfId="1095" priority="1373" operator="equal">
      <formula>0</formula>
    </cfRule>
  </conditionalFormatting>
  <conditionalFormatting sqref="H147">
    <cfRule type="cellIs" dxfId="1094" priority="1374" operator="equal">
      <formula>0</formula>
    </cfRule>
  </conditionalFormatting>
  <conditionalFormatting sqref="H147">
    <cfRule type="cellIs" dxfId="1093" priority="1375" operator="equal">
      <formula>0</formula>
    </cfRule>
  </conditionalFormatting>
  <conditionalFormatting sqref="H147">
    <cfRule type="cellIs" dxfId="1092" priority="1376" operator="equal">
      <formula>0</formula>
    </cfRule>
  </conditionalFormatting>
  <conditionalFormatting sqref="H191">
    <cfRule type="cellIs" dxfId="1091" priority="1377" operator="equal">
      <formula>0</formula>
    </cfRule>
  </conditionalFormatting>
  <conditionalFormatting sqref="H191">
    <cfRule type="cellIs" dxfId="1090" priority="1378" operator="equal">
      <formula>0</formula>
    </cfRule>
  </conditionalFormatting>
  <conditionalFormatting sqref="H191">
    <cfRule type="cellIs" dxfId="1089" priority="1379" operator="equal">
      <formula>0</formula>
    </cfRule>
  </conditionalFormatting>
  <conditionalFormatting sqref="H191">
    <cfRule type="cellIs" dxfId="1088" priority="1380" operator="equal">
      <formula>0</formula>
    </cfRule>
  </conditionalFormatting>
  <conditionalFormatting sqref="H191">
    <cfRule type="cellIs" dxfId="1087" priority="1381" operator="equal">
      <formula>0</formula>
    </cfRule>
  </conditionalFormatting>
  <conditionalFormatting sqref="H191">
    <cfRule type="cellIs" dxfId="1086" priority="1382" operator="equal">
      <formula>0</formula>
    </cfRule>
  </conditionalFormatting>
  <conditionalFormatting sqref="H191">
    <cfRule type="cellIs" dxfId="1085" priority="1383" operator="equal">
      <formula>0</formula>
    </cfRule>
  </conditionalFormatting>
  <conditionalFormatting sqref="H191">
    <cfRule type="cellIs" dxfId="1084" priority="1384" operator="equal">
      <formula>0</formula>
    </cfRule>
  </conditionalFormatting>
  <conditionalFormatting sqref="H191">
    <cfRule type="cellIs" dxfId="1083" priority="1385" operator="equal">
      <formula>0</formula>
    </cfRule>
  </conditionalFormatting>
  <conditionalFormatting sqref="H191">
    <cfRule type="cellIs" dxfId="1082" priority="1386" operator="equal">
      <formula>0</formula>
    </cfRule>
  </conditionalFormatting>
  <conditionalFormatting sqref="H191">
    <cfRule type="cellIs" dxfId="1081" priority="1387" operator="equal">
      <formula>0</formula>
    </cfRule>
  </conditionalFormatting>
  <conditionalFormatting sqref="H191">
    <cfRule type="cellIs" dxfId="1080" priority="1388" operator="equal">
      <formula>0</formula>
    </cfRule>
  </conditionalFormatting>
  <conditionalFormatting sqref="H191">
    <cfRule type="cellIs" dxfId="1079" priority="1389" operator="equal">
      <formula>0</formula>
    </cfRule>
  </conditionalFormatting>
  <conditionalFormatting sqref="H191">
    <cfRule type="cellIs" dxfId="1078" priority="1390" operator="equal">
      <formula>0</formula>
    </cfRule>
  </conditionalFormatting>
  <conditionalFormatting sqref="H191">
    <cfRule type="cellIs" dxfId="1077" priority="1391" operator="equal">
      <formula>0</formula>
    </cfRule>
  </conditionalFormatting>
  <conditionalFormatting sqref="H191">
    <cfRule type="cellIs" dxfId="1076" priority="1392" operator="equal">
      <formula>0</formula>
    </cfRule>
  </conditionalFormatting>
  <conditionalFormatting sqref="H191">
    <cfRule type="cellIs" dxfId="1075" priority="1393" operator="equal">
      <formula>0</formula>
    </cfRule>
  </conditionalFormatting>
  <conditionalFormatting sqref="H191">
    <cfRule type="cellIs" dxfId="1074" priority="1394" operator="equal">
      <formula>0</formula>
    </cfRule>
  </conditionalFormatting>
  <conditionalFormatting sqref="H191">
    <cfRule type="cellIs" dxfId="1073" priority="1395" operator="equal">
      <formula>0</formula>
    </cfRule>
  </conditionalFormatting>
  <conditionalFormatting sqref="H191">
    <cfRule type="cellIs" dxfId="1072" priority="1396" operator="equal">
      <formula>0</formula>
    </cfRule>
  </conditionalFormatting>
  <conditionalFormatting sqref="H191">
    <cfRule type="cellIs" dxfId="1071" priority="1397" operator="equal">
      <formula>0</formula>
    </cfRule>
  </conditionalFormatting>
  <conditionalFormatting sqref="H191">
    <cfRule type="cellIs" dxfId="1070" priority="1398" operator="equal">
      <formula>0</formula>
    </cfRule>
  </conditionalFormatting>
  <conditionalFormatting sqref="H191">
    <cfRule type="cellIs" dxfId="1069" priority="1399" operator="equal">
      <formula>0</formula>
    </cfRule>
  </conditionalFormatting>
  <conditionalFormatting sqref="H191">
    <cfRule type="cellIs" dxfId="1068" priority="1400" operator="equal">
      <formula>0</formula>
    </cfRule>
  </conditionalFormatting>
  <conditionalFormatting sqref="H191">
    <cfRule type="cellIs" dxfId="1067" priority="1401" operator="equal">
      <formula>0</formula>
    </cfRule>
  </conditionalFormatting>
  <conditionalFormatting sqref="H191">
    <cfRule type="cellIs" dxfId="1066" priority="1402" operator="equal">
      <formula>0</formula>
    </cfRule>
  </conditionalFormatting>
  <conditionalFormatting sqref="H191">
    <cfRule type="cellIs" dxfId="1065" priority="1403" operator="equal">
      <formula>0</formula>
    </cfRule>
  </conditionalFormatting>
  <conditionalFormatting sqref="H191">
    <cfRule type="cellIs" dxfId="1064" priority="1404" operator="equal">
      <formula>0</formula>
    </cfRule>
  </conditionalFormatting>
  <conditionalFormatting sqref="H191">
    <cfRule type="cellIs" dxfId="1063" priority="1405" operator="equal">
      <formula>0</formula>
    </cfRule>
  </conditionalFormatting>
  <conditionalFormatting sqref="H191">
    <cfRule type="cellIs" dxfId="1062" priority="1406" operator="equal">
      <formula>0</formula>
    </cfRule>
  </conditionalFormatting>
  <conditionalFormatting sqref="H191">
    <cfRule type="cellIs" dxfId="1061" priority="1407" operator="equal">
      <formula>0</formula>
    </cfRule>
  </conditionalFormatting>
  <conditionalFormatting sqref="H191">
    <cfRule type="cellIs" dxfId="1060" priority="1408" operator="equal">
      <formula>0</formula>
    </cfRule>
  </conditionalFormatting>
  <conditionalFormatting sqref="H191">
    <cfRule type="cellIs" dxfId="1059" priority="1409" operator="equal">
      <formula>0</formula>
    </cfRule>
  </conditionalFormatting>
  <conditionalFormatting sqref="H191">
    <cfRule type="cellIs" dxfId="1058" priority="1410" operator="equal">
      <formula>0</formula>
    </cfRule>
  </conditionalFormatting>
  <conditionalFormatting sqref="H191">
    <cfRule type="cellIs" dxfId="1057" priority="1411" operator="equal">
      <formula>0</formula>
    </cfRule>
  </conditionalFormatting>
  <conditionalFormatting sqref="H191">
    <cfRule type="cellIs" dxfId="1056" priority="1412" operator="equal">
      <formula>0</formula>
    </cfRule>
  </conditionalFormatting>
  <conditionalFormatting sqref="H191">
    <cfRule type="cellIs" dxfId="1055" priority="1413" operator="equal">
      <formula>0</formula>
    </cfRule>
  </conditionalFormatting>
  <conditionalFormatting sqref="H191">
    <cfRule type="cellIs" dxfId="1054" priority="1414" operator="equal">
      <formula>0</formula>
    </cfRule>
  </conditionalFormatting>
  <conditionalFormatting sqref="H191">
    <cfRule type="cellIs" dxfId="1053" priority="1415" operator="equal">
      <formula>0</formula>
    </cfRule>
  </conditionalFormatting>
  <conditionalFormatting sqref="H191">
    <cfRule type="cellIs" dxfId="1052" priority="1416" operator="equal">
      <formula>0</formula>
    </cfRule>
  </conditionalFormatting>
  <conditionalFormatting sqref="H191">
    <cfRule type="cellIs" dxfId="1051" priority="1417" operator="equal">
      <formula>0</formula>
    </cfRule>
  </conditionalFormatting>
  <conditionalFormatting sqref="H191">
    <cfRule type="cellIs" dxfId="1050" priority="1418" operator="equal">
      <formula>0</formula>
    </cfRule>
  </conditionalFormatting>
  <conditionalFormatting sqref="H191">
    <cfRule type="cellIs" dxfId="1049" priority="1419" operator="equal">
      <formula>0</formula>
    </cfRule>
  </conditionalFormatting>
  <conditionalFormatting sqref="H191">
    <cfRule type="cellIs" dxfId="1048" priority="1420" operator="equal">
      <formula>0</formula>
    </cfRule>
  </conditionalFormatting>
  <conditionalFormatting sqref="H191">
    <cfRule type="cellIs" dxfId="1047" priority="1421" operator="equal">
      <formula>0</formula>
    </cfRule>
  </conditionalFormatting>
  <conditionalFormatting sqref="H191">
    <cfRule type="cellIs" dxfId="1046" priority="1422" operator="equal">
      <formula>0</formula>
    </cfRule>
  </conditionalFormatting>
  <conditionalFormatting sqref="H191">
    <cfRule type="cellIs" dxfId="1045" priority="1423" operator="equal">
      <formula>0</formula>
    </cfRule>
  </conditionalFormatting>
  <conditionalFormatting sqref="H191">
    <cfRule type="cellIs" dxfId="1044" priority="1424" operator="equal">
      <formula>0</formula>
    </cfRule>
  </conditionalFormatting>
  <conditionalFormatting sqref="H191">
    <cfRule type="cellIs" dxfId="1043" priority="1425" operator="equal">
      <formula>0</formula>
    </cfRule>
  </conditionalFormatting>
  <conditionalFormatting sqref="H191">
    <cfRule type="cellIs" dxfId="1042" priority="1426" operator="equal">
      <formula>0</formula>
    </cfRule>
  </conditionalFormatting>
  <conditionalFormatting sqref="H191">
    <cfRule type="cellIs" dxfId="1041" priority="1427" operator="equal">
      <formula>0</formula>
    </cfRule>
  </conditionalFormatting>
  <conditionalFormatting sqref="H191">
    <cfRule type="cellIs" dxfId="1040" priority="1428" operator="equal">
      <formula>0</formula>
    </cfRule>
  </conditionalFormatting>
  <conditionalFormatting sqref="H191">
    <cfRule type="cellIs" dxfId="1039" priority="1429" operator="equal">
      <formula>0</formula>
    </cfRule>
  </conditionalFormatting>
  <conditionalFormatting sqref="H191">
    <cfRule type="cellIs" dxfId="1038" priority="1430" operator="equal">
      <formula>0</formula>
    </cfRule>
  </conditionalFormatting>
  <conditionalFormatting sqref="H191">
    <cfRule type="cellIs" dxfId="1037" priority="1431" operator="equal">
      <formula>0</formula>
    </cfRule>
  </conditionalFormatting>
  <conditionalFormatting sqref="H191">
    <cfRule type="cellIs" dxfId="1036" priority="1432" operator="equal">
      <formula>0</formula>
    </cfRule>
  </conditionalFormatting>
  <conditionalFormatting sqref="H191">
    <cfRule type="cellIs" dxfId="1035" priority="1433" operator="equal">
      <formula>0</formula>
    </cfRule>
  </conditionalFormatting>
  <conditionalFormatting sqref="H191">
    <cfRule type="cellIs" dxfId="1034" priority="1434" operator="equal">
      <formula>0</formula>
    </cfRule>
  </conditionalFormatting>
  <conditionalFormatting sqref="H191">
    <cfRule type="cellIs" dxfId="1033" priority="1435" operator="equal">
      <formula>0</formula>
    </cfRule>
  </conditionalFormatting>
  <conditionalFormatting sqref="H191">
    <cfRule type="cellIs" dxfId="1032" priority="1436" operator="equal">
      <formula>0</formula>
    </cfRule>
  </conditionalFormatting>
  <conditionalFormatting sqref="H191">
    <cfRule type="cellIs" dxfId="1031" priority="1437" operator="equal">
      <formula>0</formula>
    </cfRule>
  </conditionalFormatting>
  <conditionalFormatting sqref="H191">
    <cfRule type="cellIs" dxfId="1030" priority="1438" operator="equal">
      <formula>0</formula>
    </cfRule>
  </conditionalFormatting>
  <conditionalFormatting sqref="H191">
    <cfRule type="cellIs" dxfId="1029" priority="1439" operator="equal">
      <formula>0</formula>
    </cfRule>
  </conditionalFormatting>
  <conditionalFormatting sqref="H191">
    <cfRule type="cellIs" dxfId="1028" priority="1440" operator="equal">
      <formula>0</formula>
    </cfRule>
  </conditionalFormatting>
  <conditionalFormatting sqref="H191">
    <cfRule type="cellIs" dxfId="1027" priority="1441" operator="equal">
      <formula>0</formula>
    </cfRule>
  </conditionalFormatting>
  <conditionalFormatting sqref="H191">
    <cfRule type="cellIs" dxfId="1026" priority="1442" operator="equal">
      <formula>0</formula>
    </cfRule>
  </conditionalFormatting>
  <conditionalFormatting sqref="H191">
    <cfRule type="cellIs" dxfId="1025" priority="1443" operator="equal">
      <formula>0</formula>
    </cfRule>
  </conditionalFormatting>
  <conditionalFormatting sqref="H191">
    <cfRule type="cellIs" dxfId="1024" priority="1444" operator="equal">
      <formula>0</formula>
    </cfRule>
  </conditionalFormatting>
  <conditionalFormatting sqref="H191">
    <cfRule type="cellIs" dxfId="1023" priority="1445" operator="equal">
      <formula>0</formula>
    </cfRule>
  </conditionalFormatting>
  <conditionalFormatting sqref="H191">
    <cfRule type="cellIs" dxfId="1022" priority="1446" operator="equal">
      <formula>0</formula>
    </cfRule>
  </conditionalFormatting>
  <conditionalFormatting sqref="H191">
    <cfRule type="cellIs" dxfId="1021" priority="1447" operator="equal">
      <formula>0</formula>
    </cfRule>
  </conditionalFormatting>
  <conditionalFormatting sqref="H191">
    <cfRule type="cellIs" dxfId="1020" priority="1448" operator="equal">
      <formula>0</formula>
    </cfRule>
  </conditionalFormatting>
  <conditionalFormatting sqref="H191">
    <cfRule type="cellIs" dxfId="1019" priority="1449" operator="equal">
      <formula>0</formula>
    </cfRule>
  </conditionalFormatting>
  <conditionalFormatting sqref="H191">
    <cfRule type="cellIs" dxfId="1018" priority="1450" operator="equal">
      <formula>0</formula>
    </cfRule>
  </conditionalFormatting>
  <conditionalFormatting sqref="H191">
    <cfRule type="cellIs" dxfId="1017" priority="1451" operator="equal">
      <formula>0</formula>
    </cfRule>
  </conditionalFormatting>
  <conditionalFormatting sqref="H191">
    <cfRule type="cellIs" dxfId="1016" priority="1452" operator="equal">
      <formula>0</formula>
    </cfRule>
  </conditionalFormatting>
  <conditionalFormatting sqref="H191">
    <cfRule type="cellIs" dxfId="1015" priority="1453" operator="equal">
      <formula>0</formula>
    </cfRule>
  </conditionalFormatting>
  <conditionalFormatting sqref="H191">
    <cfRule type="cellIs" dxfId="1014" priority="1454" operator="equal">
      <formula>0</formula>
    </cfRule>
  </conditionalFormatting>
  <conditionalFormatting sqref="H191">
    <cfRule type="cellIs" dxfId="1013" priority="1455" operator="equal">
      <formula>0</formula>
    </cfRule>
  </conditionalFormatting>
  <conditionalFormatting sqref="H191">
    <cfRule type="cellIs" dxfId="1012" priority="1456" operator="equal">
      <formula>0</formula>
    </cfRule>
  </conditionalFormatting>
  <conditionalFormatting sqref="H191">
    <cfRule type="cellIs" dxfId="1011" priority="1457" operator="equal">
      <formula>0</formula>
    </cfRule>
  </conditionalFormatting>
  <conditionalFormatting sqref="H191">
    <cfRule type="cellIs" dxfId="1010" priority="1458" operator="equal">
      <formula>0</formula>
    </cfRule>
  </conditionalFormatting>
  <conditionalFormatting sqref="H191">
    <cfRule type="cellIs" dxfId="1009" priority="1459" operator="equal">
      <formula>0</formula>
    </cfRule>
  </conditionalFormatting>
  <conditionalFormatting sqref="H191">
    <cfRule type="cellIs" dxfId="1008" priority="1460" operator="equal">
      <formula>0</formula>
    </cfRule>
  </conditionalFormatting>
  <conditionalFormatting sqref="H191">
    <cfRule type="cellIs" dxfId="1007" priority="1461" operator="equal">
      <formula>0</formula>
    </cfRule>
  </conditionalFormatting>
  <conditionalFormatting sqref="H191">
    <cfRule type="cellIs" dxfId="1006" priority="1462" operator="equal">
      <formula>0</formula>
    </cfRule>
  </conditionalFormatting>
  <conditionalFormatting sqref="H191">
    <cfRule type="cellIs" dxfId="1005" priority="1463" operator="equal">
      <formula>0</formula>
    </cfRule>
  </conditionalFormatting>
  <conditionalFormatting sqref="H191">
    <cfRule type="cellIs" dxfId="1004" priority="1464" operator="equal">
      <formula>0</formula>
    </cfRule>
  </conditionalFormatting>
  <conditionalFormatting sqref="H191">
    <cfRule type="cellIs" dxfId="1003" priority="1465" operator="equal">
      <formula>0</formula>
    </cfRule>
  </conditionalFormatting>
  <conditionalFormatting sqref="H191">
    <cfRule type="cellIs" dxfId="1002" priority="1466" operator="equal">
      <formula>0</formula>
    </cfRule>
  </conditionalFormatting>
  <conditionalFormatting sqref="H191">
    <cfRule type="cellIs" dxfId="1001" priority="1467" operator="equal">
      <formula>0</formula>
    </cfRule>
  </conditionalFormatting>
  <conditionalFormatting sqref="H235">
    <cfRule type="cellIs" dxfId="1000" priority="1468" operator="equal">
      <formula>0</formula>
    </cfRule>
  </conditionalFormatting>
  <conditionalFormatting sqref="H235">
    <cfRule type="cellIs" dxfId="999" priority="1469" operator="equal">
      <formula>0</formula>
    </cfRule>
  </conditionalFormatting>
  <conditionalFormatting sqref="H235">
    <cfRule type="cellIs" dxfId="998" priority="1470" operator="equal">
      <formula>0</formula>
    </cfRule>
  </conditionalFormatting>
  <conditionalFormatting sqref="H235">
    <cfRule type="cellIs" dxfId="997" priority="1471" operator="equal">
      <formula>0</formula>
    </cfRule>
  </conditionalFormatting>
  <conditionalFormatting sqref="H235">
    <cfRule type="cellIs" dxfId="996" priority="1472" operator="equal">
      <formula>0</formula>
    </cfRule>
  </conditionalFormatting>
  <conditionalFormatting sqref="H235">
    <cfRule type="cellIs" dxfId="995" priority="1473" operator="equal">
      <formula>0</formula>
    </cfRule>
  </conditionalFormatting>
  <conditionalFormatting sqref="H235">
    <cfRule type="cellIs" dxfId="994" priority="1474" operator="equal">
      <formula>0</formula>
    </cfRule>
  </conditionalFormatting>
  <conditionalFormatting sqref="H235">
    <cfRule type="cellIs" dxfId="993" priority="1475" operator="equal">
      <formula>0</formula>
    </cfRule>
  </conditionalFormatting>
  <conditionalFormatting sqref="H235">
    <cfRule type="cellIs" dxfId="992" priority="1476" operator="equal">
      <formula>0</formula>
    </cfRule>
  </conditionalFormatting>
  <conditionalFormatting sqref="H235">
    <cfRule type="cellIs" dxfId="991" priority="1477" operator="equal">
      <formula>0</formula>
    </cfRule>
  </conditionalFormatting>
  <conditionalFormatting sqref="H235">
    <cfRule type="cellIs" dxfId="990" priority="1478" operator="equal">
      <formula>0</formula>
    </cfRule>
  </conditionalFormatting>
  <conditionalFormatting sqref="H235">
    <cfRule type="cellIs" dxfId="989" priority="1479" operator="equal">
      <formula>0</formula>
    </cfRule>
  </conditionalFormatting>
  <conditionalFormatting sqref="H235">
    <cfRule type="cellIs" dxfId="988" priority="1480" operator="equal">
      <formula>0</formula>
    </cfRule>
  </conditionalFormatting>
  <conditionalFormatting sqref="H235">
    <cfRule type="cellIs" dxfId="987" priority="1481" operator="equal">
      <formula>0</formula>
    </cfRule>
  </conditionalFormatting>
  <conditionalFormatting sqref="H235">
    <cfRule type="cellIs" dxfId="986" priority="1482" operator="equal">
      <formula>0</formula>
    </cfRule>
  </conditionalFormatting>
  <conditionalFormatting sqref="H235">
    <cfRule type="cellIs" dxfId="985" priority="1483" operator="equal">
      <formula>0</formula>
    </cfRule>
  </conditionalFormatting>
  <conditionalFormatting sqref="H235">
    <cfRule type="cellIs" dxfId="984" priority="1484" operator="equal">
      <formula>0</formula>
    </cfRule>
  </conditionalFormatting>
  <conditionalFormatting sqref="H235">
    <cfRule type="cellIs" dxfId="983" priority="1485" operator="equal">
      <formula>0</formula>
    </cfRule>
  </conditionalFormatting>
  <conditionalFormatting sqref="H235">
    <cfRule type="cellIs" dxfId="982" priority="1486" operator="equal">
      <formula>0</formula>
    </cfRule>
  </conditionalFormatting>
  <conditionalFormatting sqref="H235">
    <cfRule type="cellIs" dxfId="981" priority="1487" operator="equal">
      <formula>0</formula>
    </cfRule>
  </conditionalFormatting>
  <conditionalFormatting sqref="H235">
    <cfRule type="cellIs" dxfId="980" priority="1488" operator="equal">
      <formula>0</formula>
    </cfRule>
  </conditionalFormatting>
  <conditionalFormatting sqref="H235">
    <cfRule type="cellIs" dxfId="979" priority="1489" operator="equal">
      <formula>0</formula>
    </cfRule>
  </conditionalFormatting>
  <conditionalFormatting sqref="H235">
    <cfRule type="cellIs" dxfId="978" priority="1490" operator="equal">
      <formula>0</formula>
    </cfRule>
  </conditionalFormatting>
  <conditionalFormatting sqref="H235">
    <cfRule type="cellIs" dxfId="977" priority="1491" operator="equal">
      <formula>0</formula>
    </cfRule>
  </conditionalFormatting>
  <conditionalFormatting sqref="H235">
    <cfRule type="cellIs" dxfId="976" priority="1492" operator="equal">
      <formula>0</formula>
    </cfRule>
  </conditionalFormatting>
  <conditionalFormatting sqref="H235">
    <cfRule type="cellIs" dxfId="975" priority="1493" operator="equal">
      <formula>0</formula>
    </cfRule>
  </conditionalFormatting>
  <conditionalFormatting sqref="H235">
    <cfRule type="cellIs" dxfId="974" priority="1494" operator="equal">
      <formula>0</formula>
    </cfRule>
  </conditionalFormatting>
  <conditionalFormatting sqref="H235">
    <cfRule type="cellIs" dxfId="973" priority="1495" operator="equal">
      <formula>0</formula>
    </cfRule>
  </conditionalFormatting>
  <conditionalFormatting sqref="H235">
    <cfRule type="cellIs" dxfId="972" priority="1496" operator="equal">
      <formula>0</formula>
    </cfRule>
  </conditionalFormatting>
  <conditionalFormatting sqref="H235">
    <cfRule type="cellIs" dxfId="971" priority="1497" operator="equal">
      <formula>0</formula>
    </cfRule>
  </conditionalFormatting>
  <conditionalFormatting sqref="H235">
    <cfRule type="cellIs" dxfId="970" priority="1498" operator="equal">
      <formula>0</formula>
    </cfRule>
  </conditionalFormatting>
  <conditionalFormatting sqref="H235">
    <cfRule type="cellIs" dxfId="969" priority="1499" operator="equal">
      <formula>0</formula>
    </cfRule>
  </conditionalFormatting>
  <conditionalFormatting sqref="H235">
    <cfRule type="cellIs" dxfId="968" priority="1500" operator="equal">
      <formula>0</formula>
    </cfRule>
  </conditionalFormatting>
  <conditionalFormatting sqref="H235">
    <cfRule type="cellIs" dxfId="967" priority="1501" operator="equal">
      <formula>0</formula>
    </cfRule>
  </conditionalFormatting>
  <conditionalFormatting sqref="H235">
    <cfRule type="cellIs" dxfId="966" priority="1502" operator="equal">
      <formula>0</formula>
    </cfRule>
  </conditionalFormatting>
  <conditionalFormatting sqref="H235">
    <cfRule type="cellIs" dxfId="965" priority="1503" operator="equal">
      <formula>0</formula>
    </cfRule>
  </conditionalFormatting>
  <conditionalFormatting sqref="H235">
    <cfRule type="cellIs" dxfId="964" priority="1504" operator="equal">
      <formula>0</formula>
    </cfRule>
  </conditionalFormatting>
  <conditionalFormatting sqref="H235">
    <cfRule type="cellIs" dxfId="963" priority="1505" operator="equal">
      <formula>0</formula>
    </cfRule>
  </conditionalFormatting>
  <conditionalFormatting sqref="H235">
    <cfRule type="cellIs" dxfId="962" priority="1506" operator="equal">
      <formula>0</formula>
    </cfRule>
  </conditionalFormatting>
  <conditionalFormatting sqref="H235">
    <cfRule type="cellIs" dxfId="961" priority="1507" operator="equal">
      <formula>0</formula>
    </cfRule>
  </conditionalFormatting>
  <conditionalFormatting sqref="H235">
    <cfRule type="cellIs" dxfId="960" priority="1508" operator="equal">
      <formula>0</formula>
    </cfRule>
  </conditionalFormatting>
  <conditionalFormatting sqref="H235">
    <cfRule type="cellIs" dxfId="959" priority="1509" operator="equal">
      <formula>0</formula>
    </cfRule>
  </conditionalFormatting>
  <conditionalFormatting sqref="H235">
    <cfRule type="cellIs" dxfId="958" priority="1510" operator="equal">
      <formula>0</formula>
    </cfRule>
  </conditionalFormatting>
  <conditionalFormatting sqref="H235">
    <cfRule type="cellIs" dxfId="957" priority="1511" operator="equal">
      <formula>0</formula>
    </cfRule>
  </conditionalFormatting>
  <conditionalFormatting sqref="H235">
    <cfRule type="cellIs" dxfId="956" priority="1512" operator="equal">
      <formula>0</formula>
    </cfRule>
  </conditionalFormatting>
  <conditionalFormatting sqref="H235">
    <cfRule type="cellIs" dxfId="955" priority="1513" operator="equal">
      <formula>0</formula>
    </cfRule>
  </conditionalFormatting>
  <conditionalFormatting sqref="H235">
    <cfRule type="cellIs" dxfId="954" priority="1514" operator="equal">
      <formula>0</formula>
    </cfRule>
  </conditionalFormatting>
  <conditionalFormatting sqref="H235">
    <cfRule type="cellIs" dxfId="953" priority="1515" operator="equal">
      <formula>0</formula>
    </cfRule>
  </conditionalFormatting>
  <conditionalFormatting sqref="H235">
    <cfRule type="cellIs" dxfId="952" priority="1516" operator="equal">
      <formula>0</formula>
    </cfRule>
  </conditionalFormatting>
  <conditionalFormatting sqref="H235">
    <cfRule type="cellIs" dxfId="951" priority="1517" operator="equal">
      <formula>0</formula>
    </cfRule>
  </conditionalFormatting>
  <conditionalFormatting sqref="H235">
    <cfRule type="cellIs" dxfId="950" priority="1518" operator="equal">
      <formula>0</formula>
    </cfRule>
  </conditionalFormatting>
  <conditionalFormatting sqref="H235">
    <cfRule type="cellIs" dxfId="949" priority="1519" operator="equal">
      <formula>0</formula>
    </cfRule>
  </conditionalFormatting>
  <conditionalFormatting sqref="H235">
    <cfRule type="cellIs" dxfId="948" priority="1520" operator="equal">
      <formula>0</formula>
    </cfRule>
  </conditionalFormatting>
  <conditionalFormatting sqref="H235">
    <cfRule type="cellIs" dxfId="947" priority="1521" operator="equal">
      <formula>0</formula>
    </cfRule>
  </conditionalFormatting>
  <conditionalFormatting sqref="H235">
    <cfRule type="cellIs" dxfId="946" priority="1522" operator="equal">
      <formula>0</formula>
    </cfRule>
  </conditionalFormatting>
  <conditionalFormatting sqref="H235">
    <cfRule type="cellIs" dxfId="945" priority="1523" operator="equal">
      <formula>0</formula>
    </cfRule>
  </conditionalFormatting>
  <conditionalFormatting sqref="H235">
    <cfRule type="cellIs" dxfId="944" priority="1524" operator="equal">
      <formula>0</formula>
    </cfRule>
  </conditionalFormatting>
  <conditionalFormatting sqref="H235">
    <cfRule type="cellIs" dxfId="943" priority="1525" operator="equal">
      <formula>0</formula>
    </cfRule>
  </conditionalFormatting>
  <conditionalFormatting sqref="H235">
    <cfRule type="cellIs" dxfId="942" priority="1526" operator="equal">
      <formula>0</formula>
    </cfRule>
  </conditionalFormatting>
  <conditionalFormatting sqref="H235">
    <cfRule type="cellIs" dxfId="941" priority="1527" operator="equal">
      <formula>0</formula>
    </cfRule>
  </conditionalFormatting>
  <conditionalFormatting sqref="H235">
    <cfRule type="cellIs" dxfId="940" priority="1528" operator="equal">
      <formula>0</formula>
    </cfRule>
  </conditionalFormatting>
  <conditionalFormatting sqref="H235">
    <cfRule type="cellIs" dxfId="939" priority="1529" operator="equal">
      <formula>0</formula>
    </cfRule>
  </conditionalFormatting>
  <conditionalFormatting sqref="H235">
    <cfRule type="cellIs" dxfId="938" priority="1530" operator="equal">
      <formula>0</formula>
    </cfRule>
  </conditionalFormatting>
  <conditionalFormatting sqref="H235">
    <cfRule type="cellIs" dxfId="937" priority="1531" operator="equal">
      <formula>0</formula>
    </cfRule>
  </conditionalFormatting>
  <conditionalFormatting sqref="H235">
    <cfRule type="cellIs" dxfId="936" priority="1532" operator="equal">
      <formula>0</formula>
    </cfRule>
  </conditionalFormatting>
  <conditionalFormatting sqref="H235">
    <cfRule type="cellIs" dxfId="935" priority="1533" operator="equal">
      <formula>0</formula>
    </cfRule>
  </conditionalFormatting>
  <conditionalFormatting sqref="H235">
    <cfRule type="cellIs" dxfId="934" priority="1534" operator="equal">
      <formula>0</formula>
    </cfRule>
  </conditionalFormatting>
  <conditionalFormatting sqref="H235">
    <cfRule type="cellIs" dxfId="933" priority="1535" operator="equal">
      <formula>0</formula>
    </cfRule>
  </conditionalFormatting>
  <conditionalFormatting sqref="H235">
    <cfRule type="cellIs" dxfId="932" priority="1536" operator="equal">
      <formula>0</formula>
    </cfRule>
  </conditionalFormatting>
  <conditionalFormatting sqref="H235">
    <cfRule type="cellIs" dxfId="931" priority="1537" operator="equal">
      <formula>0</formula>
    </cfRule>
  </conditionalFormatting>
  <conditionalFormatting sqref="H235">
    <cfRule type="cellIs" dxfId="930" priority="1538" operator="equal">
      <formula>0</formula>
    </cfRule>
  </conditionalFormatting>
  <conditionalFormatting sqref="H235">
    <cfRule type="cellIs" dxfId="929" priority="1539" operator="equal">
      <formula>0</formula>
    </cfRule>
  </conditionalFormatting>
  <conditionalFormatting sqref="H235">
    <cfRule type="cellIs" dxfId="928" priority="1540" operator="equal">
      <formula>0</formula>
    </cfRule>
  </conditionalFormatting>
  <conditionalFormatting sqref="H235">
    <cfRule type="cellIs" dxfId="927" priority="1541" operator="equal">
      <formula>0</formula>
    </cfRule>
  </conditionalFormatting>
  <conditionalFormatting sqref="H235">
    <cfRule type="cellIs" dxfId="926" priority="1542" operator="equal">
      <formula>0</formula>
    </cfRule>
  </conditionalFormatting>
  <conditionalFormatting sqref="H235">
    <cfRule type="cellIs" dxfId="925" priority="1543" operator="equal">
      <formula>0</formula>
    </cfRule>
  </conditionalFormatting>
  <conditionalFormatting sqref="H235">
    <cfRule type="cellIs" dxfId="924" priority="1544" operator="equal">
      <formula>0</formula>
    </cfRule>
  </conditionalFormatting>
  <conditionalFormatting sqref="H235">
    <cfRule type="cellIs" dxfId="923" priority="1545" operator="equal">
      <formula>0</formula>
    </cfRule>
  </conditionalFormatting>
  <conditionalFormatting sqref="H235">
    <cfRule type="cellIs" dxfId="922" priority="1546" operator="equal">
      <formula>0</formula>
    </cfRule>
  </conditionalFormatting>
  <conditionalFormatting sqref="H235">
    <cfRule type="cellIs" dxfId="921" priority="1547" operator="equal">
      <formula>0</formula>
    </cfRule>
  </conditionalFormatting>
  <conditionalFormatting sqref="H235">
    <cfRule type="cellIs" dxfId="920" priority="1548" operator="equal">
      <formula>0</formula>
    </cfRule>
  </conditionalFormatting>
  <conditionalFormatting sqref="H235">
    <cfRule type="cellIs" dxfId="919" priority="1549" operator="equal">
      <formula>0</formula>
    </cfRule>
  </conditionalFormatting>
  <conditionalFormatting sqref="H235">
    <cfRule type="cellIs" dxfId="918" priority="1550" operator="equal">
      <formula>0</formula>
    </cfRule>
  </conditionalFormatting>
  <conditionalFormatting sqref="H235">
    <cfRule type="cellIs" dxfId="917" priority="1551" operator="equal">
      <formula>0</formula>
    </cfRule>
  </conditionalFormatting>
  <conditionalFormatting sqref="H235">
    <cfRule type="cellIs" dxfId="916" priority="1552" operator="equal">
      <formula>0</formula>
    </cfRule>
  </conditionalFormatting>
  <conditionalFormatting sqref="H235">
    <cfRule type="cellIs" dxfId="915" priority="1553" operator="equal">
      <formula>0</formula>
    </cfRule>
  </conditionalFormatting>
  <conditionalFormatting sqref="H235">
    <cfRule type="cellIs" dxfId="914" priority="1554" operator="equal">
      <formula>0</formula>
    </cfRule>
  </conditionalFormatting>
  <conditionalFormatting sqref="H235">
    <cfRule type="cellIs" dxfId="913" priority="1555" operator="equal">
      <formula>0</formula>
    </cfRule>
  </conditionalFormatting>
  <conditionalFormatting sqref="H235">
    <cfRule type="cellIs" dxfId="912" priority="1556" operator="equal">
      <formula>0</formula>
    </cfRule>
  </conditionalFormatting>
  <conditionalFormatting sqref="H235">
    <cfRule type="cellIs" dxfId="911" priority="1557" operator="equal">
      <formula>0</formula>
    </cfRule>
  </conditionalFormatting>
  <conditionalFormatting sqref="H235">
    <cfRule type="cellIs" dxfId="910" priority="1558" operator="equal">
      <formula>0</formula>
    </cfRule>
  </conditionalFormatting>
  <conditionalFormatting sqref="H279">
    <cfRule type="cellIs" dxfId="909" priority="1559" operator="equal">
      <formula>0</formula>
    </cfRule>
  </conditionalFormatting>
  <conditionalFormatting sqref="H279">
    <cfRule type="cellIs" dxfId="908" priority="1560" operator="equal">
      <formula>0</formula>
    </cfRule>
  </conditionalFormatting>
  <conditionalFormatting sqref="H279">
    <cfRule type="cellIs" dxfId="907" priority="1561" operator="equal">
      <formula>0</formula>
    </cfRule>
  </conditionalFormatting>
  <conditionalFormatting sqref="H279">
    <cfRule type="cellIs" dxfId="906" priority="1562" operator="equal">
      <formula>0</formula>
    </cfRule>
  </conditionalFormatting>
  <conditionalFormatting sqref="H279">
    <cfRule type="cellIs" dxfId="905" priority="1563" operator="equal">
      <formula>0</formula>
    </cfRule>
  </conditionalFormatting>
  <conditionalFormatting sqref="H279">
    <cfRule type="cellIs" dxfId="904" priority="1564" operator="equal">
      <formula>0</formula>
    </cfRule>
  </conditionalFormatting>
  <conditionalFormatting sqref="H279">
    <cfRule type="cellIs" dxfId="903" priority="1565" operator="equal">
      <formula>0</formula>
    </cfRule>
  </conditionalFormatting>
  <conditionalFormatting sqref="H279">
    <cfRule type="cellIs" dxfId="902" priority="1566" operator="equal">
      <formula>0</formula>
    </cfRule>
  </conditionalFormatting>
  <conditionalFormatting sqref="H279">
    <cfRule type="cellIs" dxfId="901" priority="1567" operator="equal">
      <formula>0</formula>
    </cfRule>
  </conditionalFormatting>
  <conditionalFormatting sqref="H279">
    <cfRule type="cellIs" dxfId="900" priority="1568" operator="equal">
      <formula>0</formula>
    </cfRule>
  </conditionalFormatting>
  <conditionalFormatting sqref="H279">
    <cfRule type="cellIs" dxfId="899" priority="1569" operator="equal">
      <formula>0</formula>
    </cfRule>
  </conditionalFormatting>
  <conditionalFormatting sqref="H279">
    <cfRule type="cellIs" dxfId="898" priority="1570" operator="equal">
      <formula>0</formula>
    </cfRule>
  </conditionalFormatting>
  <conditionalFormatting sqref="H279">
    <cfRule type="cellIs" dxfId="897" priority="1571" operator="equal">
      <formula>0</formula>
    </cfRule>
  </conditionalFormatting>
  <conditionalFormatting sqref="H279">
    <cfRule type="cellIs" dxfId="896" priority="1572" operator="equal">
      <formula>0</formula>
    </cfRule>
  </conditionalFormatting>
  <conditionalFormatting sqref="H279">
    <cfRule type="cellIs" dxfId="895" priority="1573" operator="equal">
      <formula>0</formula>
    </cfRule>
  </conditionalFormatting>
  <conditionalFormatting sqref="H279">
    <cfRule type="cellIs" dxfId="894" priority="1574" operator="equal">
      <formula>0</formula>
    </cfRule>
  </conditionalFormatting>
  <conditionalFormatting sqref="H279">
    <cfRule type="cellIs" dxfId="893" priority="1575" operator="equal">
      <formula>0</formula>
    </cfRule>
  </conditionalFormatting>
  <conditionalFormatting sqref="H279">
    <cfRule type="cellIs" dxfId="892" priority="1576" operator="equal">
      <formula>0</formula>
    </cfRule>
  </conditionalFormatting>
  <conditionalFormatting sqref="H279">
    <cfRule type="cellIs" dxfId="891" priority="1577" operator="equal">
      <formula>0</formula>
    </cfRule>
  </conditionalFormatting>
  <conditionalFormatting sqref="H279">
    <cfRule type="cellIs" dxfId="890" priority="1578" operator="equal">
      <formula>0</formula>
    </cfRule>
  </conditionalFormatting>
  <conditionalFormatting sqref="H279">
    <cfRule type="cellIs" dxfId="889" priority="1579" operator="equal">
      <formula>0</formula>
    </cfRule>
  </conditionalFormatting>
  <conditionalFormatting sqref="H279">
    <cfRule type="cellIs" dxfId="888" priority="1580" operator="equal">
      <formula>0</formula>
    </cfRule>
  </conditionalFormatting>
  <conditionalFormatting sqref="H279">
    <cfRule type="cellIs" dxfId="887" priority="1581" operator="equal">
      <formula>0</formula>
    </cfRule>
  </conditionalFormatting>
  <conditionalFormatting sqref="H279">
    <cfRule type="cellIs" dxfId="886" priority="1582" operator="equal">
      <formula>0</formula>
    </cfRule>
  </conditionalFormatting>
  <conditionalFormatting sqref="H279">
    <cfRule type="cellIs" dxfId="885" priority="1583" operator="equal">
      <formula>0</formula>
    </cfRule>
  </conditionalFormatting>
  <conditionalFormatting sqref="H279">
    <cfRule type="cellIs" dxfId="884" priority="1584" operator="equal">
      <formula>0</formula>
    </cfRule>
  </conditionalFormatting>
  <conditionalFormatting sqref="H279">
    <cfRule type="cellIs" dxfId="883" priority="1585" operator="equal">
      <formula>0</formula>
    </cfRule>
  </conditionalFormatting>
  <conditionalFormatting sqref="H279">
    <cfRule type="cellIs" dxfId="882" priority="1586" operator="equal">
      <formula>0</formula>
    </cfRule>
  </conditionalFormatting>
  <conditionalFormatting sqref="H279">
    <cfRule type="cellIs" dxfId="881" priority="1587" operator="equal">
      <formula>0</formula>
    </cfRule>
  </conditionalFormatting>
  <conditionalFormatting sqref="H279">
    <cfRule type="cellIs" dxfId="880" priority="1588" operator="equal">
      <formula>0</formula>
    </cfRule>
  </conditionalFormatting>
  <conditionalFormatting sqref="H279">
    <cfRule type="cellIs" dxfId="879" priority="1589" operator="equal">
      <formula>0</formula>
    </cfRule>
  </conditionalFormatting>
  <conditionalFormatting sqref="H279">
    <cfRule type="cellIs" dxfId="878" priority="1590" operator="equal">
      <formula>0</formula>
    </cfRule>
  </conditionalFormatting>
  <conditionalFormatting sqref="H279">
    <cfRule type="cellIs" dxfId="877" priority="1591" operator="equal">
      <formula>0</formula>
    </cfRule>
  </conditionalFormatting>
  <conditionalFormatting sqref="H279">
    <cfRule type="cellIs" dxfId="876" priority="1592" operator="equal">
      <formula>0</formula>
    </cfRule>
  </conditionalFormatting>
  <conditionalFormatting sqref="H279">
    <cfRule type="cellIs" dxfId="875" priority="1593" operator="equal">
      <formula>0</formula>
    </cfRule>
  </conditionalFormatting>
  <conditionalFormatting sqref="H279">
    <cfRule type="cellIs" dxfId="874" priority="1594" operator="equal">
      <formula>0</formula>
    </cfRule>
  </conditionalFormatting>
  <conditionalFormatting sqref="H279">
    <cfRule type="cellIs" dxfId="873" priority="1595" operator="equal">
      <formula>0</formula>
    </cfRule>
  </conditionalFormatting>
  <conditionalFormatting sqref="H279">
    <cfRule type="cellIs" dxfId="872" priority="1596" operator="equal">
      <formula>0</formula>
    </cfRule>
  </conditionalFormatting>
  <conditionalFormatting sqref="H279">
    <cfRule type="cellIs" dxfId="871" priority="1597" operator="equal">
      <formula>0</formula>
    </cfRule>
  </conditionalFormatting>
  <conditionalFormatting sqref="H279">
    <cfRule type="cellIs" dxfId="870" priority="1598" operator="equal">
      <formula>0</formula>
    </cfRule>
  </conditionalFormatting>
  <conditionalFormatting sqref="H279">
    <cfRule type="cellIs" dxfId="869" priority="1599" operator="equal">
      <formula>0</formula>
    </cfRule>
  </conditionalFormatting>
  <conditionalFormatting sqref="H279">
    <cfRule type="cellIs" dxfId="868" priority="1600" operator="equal">
      <formula>0</formula>
    </cfRule>
  </conditionalFormatting>
  <conditionalFormatting sqref="H279">
    <cfRule type="cellIs" dxfId="867" priority="1601" operator="equal">
      <formula>0</formula>
    </cfRule>
  </conditionalFormatting>
  <conditionalFormatting sqref="H279">
    <cfRule type="cellIs" dxfId="866" priority="1602" operator="equal">
      <formula>0</formula>
    </cfRule>
  </conditionalFormatting>
  <conditionalFormatting sqref="H279">
    <cfRule type="cellIs" dxfId="865" priority="1603" operator="equal">
      <formula>0</formula>
    </cfRule>
  </conditionalFormatting>
  <conditionalFormatting sqref="H279">
    <cfRule type="cellIs" dxfId="864" priority="1604" operator="equal">
      <formula>0</formula>
    </cfRule>
  </conditionalFormatting>
  <conditionalFormatting sqref="H279">
    <cfRule type="cellIs" dxfId="863" priority="1605" operator="equal">
      <formula>0</formula>
    </cfRule>
  </conditionalFormatting>
  <conditionalFormatting sqref="H279">
    <cfRule type="cellIs" dxfId="862" priority="1606" operator="equal">
      <formula>0</formula>
    </cfRule>
  </conditionalFormatting>
  <conditionalFormatting sqref="H279">
    <cfRule type="cellIs" dxfId="861" priority="1607" operator="equal">
      <formula>0</formula>
    </cfRule>
  </conditionalFormatting>
  <conditionalFormatting sqref="H279">
    <cfRule type="cellIs" dxfId="860" priority="1608" operator="equal">
      <formula>0</formula>
    </cfRule>
  </conditionalFormatting>
  <conditionalFormatting sqref="H279">
    <cfRule type="cellIs" dxfId="859" priority="1609" operator="equal">
      <formula>0</formula>
    </cfRule>
  </conditionalFormatting>
  <conditionalFormatting sqref="H279">
    <cfRule type="cellIs" dxfId="858" priority="1610" operator="equal">
      <formula>0</formula>
    </cfRule>
  </conditionalFormatting>
  <conditionalFormatting sqref="H279">
    <cfRule type="cellIs" dxfId="857" priority="1611" operator="equal">
      <formula>0</formula>
    </cfRule>
  </conditionalFormatting>
  <conditionalFormatting sqref="H279">
    <cfRule type="cellIs" dxfId="856" priority="1612" operator="equal">
      <formula>0</formula>
    </cfRule>
  </conditionalFormatting>
  <conditionalFormatting sqref="H279">
    <cfRule type="cellIs" dxfId="855" priority="1613" operator="equal">
      <formula>0</formula>
    </cfRule>
  </conditionalFormatting>
  <conditionalFormatting sqref="H279">
    <cfRule type="cellIs" dxfId="854" priority="1614" operator="equal">
      <formula>0</formula>
    </cfRule>
  </conditionalFormatting>
  <conditionalFormatting sqref="H279">
    <cfRule type="cellIs" dxfId="853" priority="1615" operator="equal">
      <formula>0</formula>
    </cfRule>
  </conditionalFormatting>
  <conditionalFormatting sqref="H279">
    <cfRule type="cellIs" dxfId="852" priority="1616" operator="equal">
      <formula>0</formula>
    </cfRule>
  </conditionalFormatting>
  <conditionalFormatting sqref="H279">
    <cfRule type="cellIs" dxfId="851" priority="1617" operator="equal">
      <formula>0</formula>
    </cfRule>
  </conditionalFormatting>
  <conditionalFormatting sqref="H279">
    <cfRule type="cellIs" dxfId="850" priority="1618" operator="equal">
      <formula>0</formula>
    </cfRule>
  </conditionalFormatting>
  <conditionalFormatting sqref="H279">
    <cfRule type="cellIs" dxfId="849" priority="1619" operator="equal">
      <formula>0</formula>
    </cfRule>
  </conditionalFormatting>
  <conditionalFormatting sqref="H279">
    <cfRule type="cellIs" dxfId="848" priority="1620" operator="equal">
      <formula>0</formula>
    </cfRule>
  </conditionalFormatting>
  <conditionalFormatting sqref="H279">
    <cfRule type="cellIs" dxfId="847" priority="1621" operator="equal">
      <formula>0</formula>
    </cfRule>
  </conditionalFormatting>
  <conditionalFormatting sqref="H279">
    <cfRule type="cellIs" dxfId="846" priority="1622" operator="equal">
      <formula>0</formula>
    </cfRule>
  </conditionalFormatting>
  <conditionalFormatting sqref="H279">
    <cfRule type="cellIs" dxfId="845" priority="1623" operator="equal">
      <formula>0</formula>
    </cfRule>
  </conditionalFormatting>
  <conditionalFormatting sqref="H279">
    <cfRule type="cellIs" dxfId="844" priority="1624" operator="equal">
      <formula>0</formula>
    </cfRule>
  </conditionalFormatting>
  <conditionalFormatting sqref="H279">
    <cfRule type="cellIs" dxfId="843" priority="1625" operator="equal">
      <formula>0</formula>
    </cfRule>
  </conditionalFormatting>
  <conditionalFormatting sqref="H279">
    <cfRule type="cellIs" dxfId="842" priority="1626" operator="equal">
      <formula>0</formula>
    </cfRule>
  </conditionalFormatting>
  <conditionalFormatting sqref="H279">
    <cfRule type="cellIs" dxfId="841" priority="1627" operator="equal">
      <formula>0</formula>
    </cfRule>
  </conditionalFormatting>
  <conditionalFormatting sqref="H279">
    <cfRule type="cellIs" dxfId="840" priority="1628" operator="equal">
      <formula>0</formula>
    </cfRule>
  </conditionalFormatting>
  <conditionalFormatting sqref="H279">
    <cfRule type="cellIs" dxfId="839" priority="1629" operator="equal">
      <formula>0</formula>
    </cfRule>
  </conditionalFormatting>
  <conditionalFormatting sqref="H279">
    <cfRule type="cellIs" dxfId="838" priority="1630" operator="equal">
      <formula>0</formula>
    </cfRule>
  </conditionalFormatting>
  <conditionalFormatting sqref="H279">
    <cfRule type="cellIs" dxfId="837" priority="1631" operator="equal">
      <formula>0</formula>
    </cfRule>
  </conditionalFormatting>
  <conditionalFormatting sqref="H279">
    <cfRule type="cellIs" dxfId="836" priority="1632" operator="equal">
      <formula>0</formula>
    </cfRule>
  </conditionalFormatting>
  <conditionalFormatting sqref="H279">
    <cfRule type="cellIs" dxfId="835" priority="1633" operator="equal">
      <formula>0</formula>
    </cfRule>
  </conditionalFormatting>
  <conditionalFormatting sqref="H279">
    <cfRule type="cellIs" dxfId="834" priority="1634" operator="equal">
      <formula>0</formula>
    </cfRule>
  </conditionalFormatting>
  <conditionalFormatting sqref="H279">
    <cfRule type="cellIs" dxfId="833" priority="1635" operator="equal">
      <formula>0</formula>
    </cfRule>
  </conditionalFormatting>
  <conditionalFormatting sqref="H279">
    <cfRule type="cellIs" dxfId="832" priority="1636" operator="equal">
      <formula>0</formula>
    </cfRule>
  </conditionalFormatting>
  <conditionalFormatting sqref="H279">
    <cfRule type="cellIs" dxfId="831" priority="1637" operator="equal">
      <formula>0</formula>
    </cfRule>
  </conditionalFormatting>
  <conditionalFormatting sqref="H279">
    <cfRule type="cellIs" dxfId="830" priority="1638" operator="equal">
      <formula>0</formula>
    </cfRule>
  </conditionalFormatting>
  <conditionalFormatting sqref="H279">
    <cfRule type="cellIs" dxfId="829" priority="1639" operator="equal">
      <formula>0</formula>
    </cfRule>
  </conditionalFormatting>
  <conditionalFormatting sqref="H279">
    <cfRule type="cellIs" dxfId="828" priority="1640" operator="equal">
      <formula>0</formula>
    </cfRule>
  </conditionalFormatting>
  <conditionalFormatting sqref="H279">
    <cfRule type="cellIs" dxfId="827" priority="1641" operator="equal">
      <formula>0</formula>
    </cfRule>
  </conditionalFormatting>
  <conditionalFormatting sqref="H279">
    <cfRule type="cellIs" dxfId="826" priority="1642" operator="equal">
      <formula>0</formula>
    </cfRule>
  </conditionalFormatting>
  <conditionalFormatting sqref="H279">
    <cfRule type="cellIs" dxfId="825" priority="1643" operator="equal">
      <formula>0</formula>
    </cfRule>
  </conditionalFormatting>
  <conditionalFormatting sqref="H279">
    <cfRule type="cellIs" dxfId="824" priority="1644" operator="equal">
      <formula>0</formula>
    </cfRule>
  </conditionalFormatting>
  <conditionalFormatting sqref="H279">
    <cfRule type="cellIs" dxfId="823" priority="1645" operator="equal">
      <formula>0</formula>
    </cfRule>
  </conditionalFormatting>
  <conditionalFormatting sqref="H279">
    <cfRule type="cellIs" dxfId="822" priority="1646" operator="equal">
      <formula>0</formula>
    </cfRule>
  </conditionalFormatting>
  <conditionalFormatting sqref="H279">
    <cfRule type="cellIs" dxfId="821" priority="1647" operator="equal">
      <formula>0</formula>
    </cfRule>
  </conditionalFormatting>
  <conditionalFormatting sqref="H279">
    <cfRule type="cellIs" dxfId="820" priority="1648" operator="equal">
      <formula>0</formula>
    </cfRule>
  </conditionalFormatting>
  <conditionalFormatting sqref="H279">
    <cfRule type="cellIs" dxfId="819" priority="1649" operator="equal">
      <formula>0</formula>
    </cfRule>
  </conditionalFormatting>
  <conditionalFormatting sqref="H323">
    <cfRule type="cellIs" dxfId="818" priority="1650" operator="equal">
      <formula>0</formula>
    </cfRule>
  </conditionalFormatting>
  <conditionalFormatting sqref="H323">
    <cfRule type="cellIs" dxfId="817" priority="1651" operator="equal">
      <formula>0</formula>
    </cfRule>
  </conditionalFormatting>
  <conditionalFormatting sqref="H323">
    <cfRule type="cellIs" dxfId="816" priority="1652" operator="equal">
      <formula>0</formula>
    </cfRule>
  </conditionalFormatting>
  <conditionalFormatting sqref="H323">
    <cfRule type="cellIs" dxfId="815" priority="1653" operator="equal">
      <formula>0</formula>
    </cfRule>
  </conditionalFormatting>
  <conditionalFormatting sqref="H323">
    <cfRule type="cellIs" dxfId="814" priority="1654" operator="equal">
      <formula>0</formula>
    </cfRule>
  </conditionalFormatting>
  <conditionalFormatting sqref="H323">
    <cfRule type="cellIs" dxfId="813" priority="1655" operator="equal">
      <formula>0</formula>
    </cfRule>
  </conditionalFormatting>
  <conditionalFormatting sqref="H323">
    <cfRule type="cellIs" dxfId="812" priority="1656" operator="equal">
      <formula>0</formula>
    </cfRule>
  </conditionalFormatting>
  <conditionalFormatting sqref="H323">
    <cfRule type="cellIs" dxfId="811" priority="1657" operator="equal">
      <formula>0</formula>
    </cfRule>
  </conditionalFormatting>
  <conditionalFormatting sqref="H323">
    <cfRule type="cellIs" dxfId="810" priority="1658" operator="equal">
      <formula>0</formula>
    </cfRule>
  </conditionalFormatting>
  <conditionalFormatting sqref="H323">
    <cfRule type="cellIs" dxfId="809" priority="1659" operator="equal">
      <formula>0</formula>
    </cfRule>
  </conditionalFormatting>
  <conditionalFormatting sqref="H323">
    <cfRule type="cellIs" dxfId="808" priority="1660" operator="equal">
      <formula>0</formula>
    </cfRule>
  </conditionalFormatting>
  <conditionalFormatting sqref="H323">
    <cfRule type="cellIs" dxfId="807" priority="1661" operator="equal">
      <formula>0</formula>
    </cfRule>
  </conditionalFormatting>
  <conditionalFormatting sqref="H323">
    <cfRule type="cellIs" dxfId="806" priority="1662" operator="equal">
      <formula>0</formula>
    </cfRule>
  </conditionalFormatting>
  <conditionalFormatting sqref="H323">
    <cfRule type="cellIs" dxfId="805" priority="1663" operator="equal">
      <formula>0</formula>
    </cfRule>
  </conditionalFormatting>
  <conditionalFormatting sqref="H323">
    <cfRule type="cellIs" dxfId="804" priority="1664" operator="equal">
      <formula>0</formula>
    </cfRule>
  </conditionalFormatting>
  <conditionalFormatting sqref="H323">
    <cfRule type="cellIs" dxfId="803" priority="1665" operator="equal">
      <formula>0</formula>
    </cfRule>
  </conditionalFormatting>
  <conditionalFormatting sqref="H323">
    <cfRule type="cellIs" dxfId="802" priority="1666" operator="equal">
      <formula>0</formula>
    </cfRule>
  </conditionalFormatting>
  <conditionalFormatting sqref="H323">
    <cfRule type="cellIs" dxfId="801" priority="1667" operator="equal">
      <formula>0</formula>
    </cfRule>
  </conditionalFormatting>
  <conditionalFormatting sqref="H323">
    <cfRule type="cellIs" dxfId="800" priority="1668" operator="equal">
      <formula>0</formula>
    </cfRule>
  </conditionalFormatting>
  <conditionalFormatting sqref="H323">
    <cfRule type="cellIs" dxfId="799" priority="1669" operator="equal">
      <formula>0</formula>
    </cfRule>
  </conditionalFormatting>
  <conditionalFormatting sqref="H323">
    <cfRule type="cellIs" dxfId="798" priority="1670" operator="equal">
      <formula>0</formula>
    </cfRule>
  </conditionalFormatting>
  <conditionalFormatting sqref="H323">
    <cfRule type="cellIs" dxfId="797" priority="1671" operator="equal">
      <formula>0</formula>
    </cfRule>
  </conditionalFormatting>
  <conditionalFormatting sqref="H323">
    <cfRule type="cellIs" dxfId="796" priority="1672" operator="equal">
      <formula>0</formula>
    </cfRule>
  </conditionalFormatting>
  <conditionalFormatting sqref="H323">
    <cfRule type="cellIs" dxfId="795" priority="1673" operator="equal">
      <formula>0</formula>
    </cfRule>
  </conditionalFormatting>
  <conditionalFormatting sqref="H323">
    <cfRule type="cellIs" dxfId="794" priority="1674" operator="equal">
      <formula>0</formula>
    </cfRule>
  </conditionalFormatting>
  <conditionalFormatting sqref="H323">
    <cfRule type="cellIs" dxfId="793" priority="1675" operator="equal">
      <formula>0</formula>
    </cfRule>
  </conditionalFormatting>
  <conditionalFormatting sqref="H323">
    <cfRule type="cellIs" dxfId="792" priority="1676" operator="equal">
      <formula>0</formula>
    </cfRule>
  </conditionalFormatting>
  <conditionalFormatting sqref="H323">
    <cfRule type="cellIs" dxfId="791" priority="1677" operator="equal">
      <formula>0</formula>
    </cfRule>
  </conditionalFormatting>
  <conditionalFormatting sqref="H323">
    <cfRule type="cellIs" dxfId="790" priority="1678" operator="equal">
      <formula>0</formula>
    </cfRule>
  </conditionalFormatting>
  <conditionalFormatting sqref="H323">
    <cfRule type="cellIs" dxfId="789" priority="1679" operator="equal">
      <formula>0</formula>
    </cfRule>
  </conditionalFormatting>
  <conditionalFormatting sqref="H323">
    <cfRule type="cellIs" dxfId="788" priority="1680" operator="equal">
      <formula>0</formula>
    </cfRule>
  </conditionalFormatting>
  <conditionalFormatting sqref="H323">
    <cfRule type="cellIs" dxfId="787" priority="1681" operator="equal">
      <formula>0</formula>
    </cfRule>
  </conditionalFormatting>
  <conditionalFormatting sqref="H323">
    <cfRule type="cellIs" dxfId="786" priority="1682" operator="equal">
      <formula>0</formula>
    </cfRule>
  </conditionalFormatting>
  <conditionalFormatting sqref="H323">
    <cfRule type="cellIs" dxfId="785" priority="1683" operator="equal">
      <formula>0</formula>
    </cfRule>
  </conditionalFormatting>
  <conditionalFormatting sqref="H323">
    <cfRule type="cellIs" dxfId="784" priority="1684" operator="equal">
      <formula>0</formula>
    </cfRule>
  </conditionalFormatting>
  <conditionalFormatting sqref="H323">
    <cfRule type="cellIs" dxfId="783" priority="1685" operator="equal">
      <formula>0</formula>
    </cfRule>
  </conditionalFormatting>
  <conditionalFormatting sqref="H323">
    <cfRule type="cellIs" dxfId="782" priority="1686" operator="equal">
      <formula>0</formula>
    </cfRule>
  </conditionalFormatting>
  <conditionalFormatting sqref="H323">
    <cfRule type="cellIs" dxfId="781" priority="1687" operator="equal">
      <formula>0</formula>
    </cfRule>
  </conditionalFormatting>
  <conditionalFormatting sqref="H323">
    <cfRule type="cellIs" dxfId="780" priority="1688" operator="equal">
      <formula>0</formula>
    </cfRule>
  </conditionalFormatting>
  <conditionalFormatting sqref="H323">
    <cfRule type="cellIs" dxfId="779" priority="1689" operator="equal">
      <formula>0</formula>
    </cfRule>
  </conditionalFormatting>
  <conditionalFormatting sqref="H323">
    <cfRule type="cellIs" dxfId="778" priority="1690" operator="equal">
      <formula>0</formula>
    </cfRule>
  </conditionalFormatting>
  <conditionalFormatting sqref="H323">
    <cfRule type="cellIs" dxfId="777" priority="1691" operator="equal">
      <formula>0</formula>
    </cfRule>
  </conditionalFormatting>
  <conditionalFormatting sqref="H323">
    <cfRule type="cellIs" dxfId="776" priority="1692" operator="equal">
      <formula>0</formula>
    </cfRule>
  </conditionalFormatting>
  <conditionalFormatting sqref="H323">
    <cfRule type="cellIs" dxfId="775" priority="1693" operator="equal">
      <formula>0</formula>
    </cfRule>
  </conditionalFormatting>
  <conditionalFormatting sqref="H323">
    <cfRule type="cellIs" dxfId="774" priority="1694" operator="equal">
      <formula>0</formula>
    </cfRule>
  </conditionalFormatting>
  <conditionalFormatting sqref="H323">
    <cfRule type="cellIs" dxfId="773" priority="1695" operator="equal">
      <formula>0</formula>
    </cfRule>
  </conditionalFormatting>
  <conditionalFormatting sqref="H323">
    <cfRule type="cellIs" dxfId="772" priority="1696" operator="equal">
      <formula>0</formula>
    </cfRule>
  </conditionalFormatting>
  <conditionalFormatting sqref="H323">
    <cfRule type="cellIs" dxfId="771" priority="1697" operator="equal">
      <formula>0</formula>
    </cfRule>
  </conditionalFormatting>
  <conditionalFormatting sqref="H323">
    <cfRule type="cellIs" dxfId="770" priority="1698" operator="equal">
      <formula>0</formula>
    </cfRule>
  </conditionalFormatting>
  <conditionalFormatting sqref="H323">
    <cfRule type="cellIs" dxfId="769" priority="1699" operator="equal">
      <formula>0</formula>
    </cfRule>
  </conditionalFormatting>
  <conditionalFormatting sqref="H323">
    <cfRule type="cellIs" dxfId="768" priority="1700" operator="equal">
      <formula>0</formula>
    </cfRule>
  </conditionalFormatting>
  <conditionalFormatting sqref="H323">
    <cfRule type="cellIs" dxfId="767" priority="1701" operator="equal">
      <formula>0</formula>
    </cfRule>
  </conditionalFormatting>
  <conditionalFormatting sqref="H323">
    <cfRule type="cellIs" dxfId="766" priority="1702" operator="equal">
      <formula>0</formula>
    </cfRule>
  </conditionalFormatting>
  <conditionalFormatting sqref="H323">
    <cfRule type="cellIs" dxfId="765" priority="1703" operator="equal">
      <formula>0</formula>
    </cfRule>
  </conditionalFormatting>
  <conditionalFormatting sqref="H323">
    <cfRule type="cellIs" dxfId="764" priority="1704" operator="equal">
      <formula>0</formula>
    </cfRule>
  </conditionalFormatting>
  <conditionalFormatting sqref="H323">
    <cfRule type="cellIs" dxfId="763" priority="1705" operator="equal">
      <formula>0</formula>
    </cfRule>
  </conditionalFormatting>
  <conditionalFormatting sqref="H323">
    <cfRule type="cellIs" dxfId="762" priority="1706" operator="equal">
      <formula>0</formula>
    </cfRule>
  </conditionalFormatting>
  <conditionalFormatting sqref="H323">
    <cfRule type="cellIs" dxfId="761" priority="1707" operator="equal">
      <formula>0</formula>
    </cfRule>
  </conditionalFormatting>
  <conditionalFormatting sqref="H323">
    <cfRule type="cellIs" dxfId="760" priority="1708" operator="equal">
      <formula>0</formula>
    </cfRule>
  </conditionalFormatting>
  <conditionalFormatting sqref="H323">
    <cfRule type="cellIs" dxfId="759" priority="1709" operator="equal">
      <formula>0</formula>
    </cfRule>
  </conditionalFormatting>
  <conditionalFormatting sqref="H323">
    <cfRule type="cellIs" dxfId="758" priority="1710" operator="equal">
      <formula>0</formula>
    </cfRule>
  </conditionalFormatting>
  <conditionalFormatting sqref="H323">
    <cfRule type="cellIs" dxfId="757" priority="1711" operator="equal">
      <formula>0</formula>
    </cfRule>
  </conditionalFormatting>
  <conditionalFormatting sqref="H323">
    <cfRule type="cellIs" dxfId="756" priority="1712" operator="equal">
      <formula>0</formula>
    </cfRule>
  </conditionalFormatting>
  <conditionalFormatting sqref="H323">
    <cfRule type="cellIs" dxfId="755" priority="1713" operator="equal">
      <formula>0</formula>
    </cfRule>
  </conditionalFormatting>
  <conditionalFormatting sqref="H323">
    <cfRule type="cellIs" dxfId="754" priority="1714" operator="equal">
      <formula>0</formula>
    </cfRule>
  </conditionalFormatting>
  <conditionalFormatting sqref="H323">
    <cfRule type="cellIs" dxfId="753" priority="1715" operator="equal">
      <formula>0</formula>
    </cfRule>
  </conditionalFormatting>
  <conditionalFormatting sqref="H323">
    <cfRule type="cellIs" dxfId="752" priority="1716" operator="equal">
      <formula>0</formula>
    </cfRule>
  </conditionalFormatting>
  <conditionalFormatting sqref="H323">
    <cfRule type="cellIs" dxfId="751" priority="1717" operator="equal">
      <formula>0</formula>
    </cfRule>
  </conditionalFormatting>
  <conditionalFormatting sqref="H323">
    <cfRule type="cellIs" dxfId="750" priority="1718" operator="equal">
      <formula>0</formula>
    </cfRule>
  </conditionalFormatting>
  <conditionalFormatting sqref="H323">
    <cfRule type="cellIs" dxfId="749" priority="1719" operator="equal">
      <formula>0</formula>
    </cfRule>
  </conditionalFormatting>
  <conditionalFormatting sqref="H323">
    <cfRule type="cellIs" dxfId="748" priority="1720" operator="equal">
      <formula>0</formula>
    </cfRule>
  </conditionalFormatting>
  <conditionalFormatting sqref="H323">
    <cfRule type="cellIs" dxfId="747" priority="1721" operator="equal">
      <formula>0</formula>
    </cfRule>
  </conditionalFormatting>
  <conditionalFormatting sqref="H323">
    <cfRule type="cellIs" dxfId="746" priority="1722" operator="equal">
      <formula>0</formula>
    </cfRule>
  </conditionalFormatting>
  <conditionalFormatting sqref="H323">
    <cfRule type="cellIs" dxfId="745" priority="1723" operator="equal">
      <formula>0</formula>
    </cfRule>
  </conditionalFormatting>
  <conditionalFormatting sqref="H323">
    <cfRule type="cellIs" dxfId="744" priority="1724" operator="equal">
      <formula>0</formula>
    </cfRule>
  </conditionalFormatting>
  <conditionalFormatting sqref="H323">
    <cfRule type="cellIs" dxfId="743" priority="1725" operator="equal">
      <formula>0</formula>
    </cfRule>
  </conditionalFormatting>
  <conditionalFormatting sqref="H323">
    <cfRule type="cellIs" dxfId="742" priority="1726" operator="equal">
      <formula>0</formula>
    </cfRule>
  </conditionalFormatting>
  <conditionalFormatting sqref="H323">
    <cfRule type="cellIs" dxfId="741" priority="1727" operator="equal">
      <formula>0</formula>
    </cfRule>
  </conditionalFormatting>
  <conditionalFormatting sqref="H323">
    <cfRule type="cellIs" dxfId="740" priority="1728" operator="equal">
      <formula>0</formula>
    </cfRule>
  </conditionalFormatting>
  <conditionalFormatting sqref="H323">
    <cfRule type="cellIs" dxfId="739" priority="1729" operator="equal">
      <formula>0</formula>
    </cfRule>
  </conditionalFormatting>
  <conditionalFormatting sqref="H323">
    <cfRule type="cellIs" dxfId="738" priority="1730" operator="equal">
      <formula>0</formula>
    </cfRule>
  </conditionalFormatting>
  <conditionalFormatting sqref="H323">
    <cfRule type="cellIs" dxfId="737" priority="1731" operator="equal">
      <formula>0</formula>
    </cfRule>
  </conditionalFormatting>
  <conditionalFormatting sqref="H323">
    <cfRule type="cellIs" dxfId="736" priority="1732" operator="equal">
      <formula>0</formula>
    </cfRule>
  </conditionalFormatting>
  <conditionalFormatting sqref="H323">
    <cfRule type="cellIs" dxfId="735" priority="1733" operator="equal">
      <formula>0</formula>
    </cfRule>
  </conditionalFormatting>
  <conditionalFormatting sqref="H323">
    <cfRule type="cellIs" dxfId="734" priority="1734" operator="equal">
      <formula>0</formula>
    </cfRule>
  </conditionalFormatting>
  <conditionalFormatting sqref="H323">
    <cfRule type="cellIs" dxfId="733" priority="1735" operator="equal">
      <formula>0</formula>
    </cfRule>
  </conditionalFormatting>
  <conditionalFormatting sqref="H323">
    <cfRule type="cellIs" dxfId="732" priority="1736" operator="equal">
      <formula>0</formula>
    </cfRule>
  </conditionalFormatting>
  <conditionalFormatting sqref="H323">
    <cfRule type="cellIs" dxfId="731" priority="1737" operator="equal">
      <formula>0</formula>
    </cfRule>
  </conditionalFormatting>
  <conditionalFormatting sqref="H323">
    <cfRule type="cellIs" dxfId="730" priority="1738" operator="equal">
      <formula>0</formula>
    </cfRule>
  </conditionalFormatting>
  <conditionalFormatting sqref="H323">
    <cfRule type="cellIs" dxfId="729" priority="1739" operator="equal">
      <formula>0</formula>
    </cfRule>
  </conditionalFormatting>
  <conditionalFormatting sqref="H323">
    <cfRule type="cellIs" dxfId="728" priority="1740" operator="equal">
      <formula>0</formula>
    </cfRule>
  </conditionalFormatting>
  <conditionalFormatting sqref="H367">
    <cfRule type="cellIs" dxfId="727" priority="1741" operator="equal">
      <formula>0</formula>
    </cfRule>
  </conditionalFormatting>
  <conditionalFormatting sqref="H367">
    <cfRule type="cellIs" dxfId="726" priority="1742" operator="equal">
      <formula>0</formula>
    </cfRule>
  </conditionalFormatting>
  <conditionalFormatting sqref="H367">
    <cfRule type="cellIs" dxfId="725" priority="1743" operator="equal">
      <formula>0</formula>
    </cfRule>
  </conditionalFormatting>
  <conditionalFormatting sqref="H367">
    <cfRule type="cellIs" dxfId="724" priority="1744" operator="equal">
      <formula>0</formula>
    </cfRule>
  </conditionalFormatting>
  <conditionalFormatting sqref="H367">
    <cfRule type="cellIs" dxfId="723" priority="1745" operator="equal">
      <formula>0</formula>
    </cfRule>
  </conditionalFormatting>
  <conditionalFormatting sqref="H367">
    <cfRule type="cellIs" dxfId="722" priority="1746" operator="equal">
      <formula>0</formula>
    </cfRule>
  </conditionalFormatting>
  <conditionalFormatting sqref="H367">
    <cfRule type="cellIs" dxfId="721" priority="1747" operator="equal">
      <formula>0</formula>
    </cfRule>
  </conditionalFormatting>
  <conditionalFormatting sqref="H367">
    <cfRule type="cellIs" dxfId="720" priority="1748" operator="equal">
      <formula>0</formula>
    </cfRule>
  </conditionalFormatting>
  <conditionalFormatting sqref="H367">
    <cfRule type="cellIs" dxfId="719" priority="1749" operator="equal">
      <formula>0</formula>
    </cfRule>
  </conditionalFormatting>
  <conditionalFormatting sqref="H367">
    <cfRule type="cellIs" dxfId="718" priority="1750" operator="equal">
      <formula>0</formula>
    </cfRule>
  </conditionalFormatting>
  <conditionalFormatting sqref="H367">
    <cfRule type="cellIs" dxfId="717" priority="1751" operator="equal">
      <formula>0</formula>
    </cfRule>
  </conditionalFormatting>
  <conditionalFormatting sqref="H367">
    <cfRule type="cellIs" dxfId="716" priority="1752" operator="equal">
      <formula>0</formula>
    </cfRule>
  </conditionalFormatting>
  <conditionalFormatting sqref="H367">
    <cfRule type="cellIs" dxfId="715" priority="1753" operator="equal">
      <formula>0</formula>
    </cfRule>
  </conditionalFormatting>
  <conditionalFormatting sqref="H367">
    <cfRule type="cellIs" dxfId="714" priority="1754" operator="equal">
      <formula>0</formula>
    </cfRule>
  </conditionalFormatting>
  <conditionalFormatting sqref="H367">
    <cfRule type="cellIs" dxfId="713" priority="1755" operator="equal">
      <formula>0</formula>
    </cfRule>
  </conditionalFormatting>
  <conditionalFormatting sqref="H367">
    <cfRule type="cellIs" dxfId="712" priority="1756" operator="equal">
      <formula>0</formula>
    </cfRule>
  </conditionalFormatting>
  <conditionalFormatting sqref="H367">
    <cfRule type="cellIs" dxfId="711" priority="1757" operator="equal">
      <formula>0</formula>
    </cfRule>
  </conditionalFormatting>
  <conditionalFormatting sqref="H367">
    <cfRule type="cellIs" dxfId="710" priority="1758" operator="equal">
      <formula>0</formula>
    </cfRule>
  </conditionalFormatting>
  <conditionalFormatting sqref="H367">
    <cfRule type="cellIs" dxfId="709" priority="1759" operator="equal">
      <formula>0</formula>
    </cfRule>
  </conditionalFormatting>
  <conditionalFormatting sqref="H367">
    <cfRule type="cellIs" dxfId="708" priority="1760" operator="equal">
      <formula>0</formula>
    </cfRule>
  </conditionalFormatting>
  <conditionalFormatting sqref="H367">
    <cfRule type="cellIs" dxfId="707" priority="1761" operator="equal">
      <formula>0</formula>
    </cfRule>
  </conditionalFormatting>
  <conditionalFormatting sqref="H367">
    <cfRule type="cellIs" dxfId="706" priority="1762" operator="equal">
      <formula>0</formula>
    </cfRule>
  </conditionalFormatting>
  <conditionalFormatting sqref="H367">
    <cfRule type="cellIs" dxfId="705" priority="1763" operator="equal">
      <formula>0</formula>
    </cfRule>
  </conditionalFormatting>
  <conditionalFormatting sqref="H367">
    <cfRule type="cellIs" dxfId="704" priority="1764" operator="equal">
      <formula>0</formula>
    </cfRule>
  </conditionalFormatting>
  <conditionalFormatting sqref="H367">
    <cfRule type="cellIs" dxfId="703" priority="1765" operator="equal">
      <formula>0</formula>
    </cfRule>
  </conditionalFormatting>
  <conditionalFormatting sqref="H367">
    <cfRule type="cellIs" dxfId="702" priority="1766" operator="equal">
      <formula>0</formula>
    </cfRule>
  </conditionalFormatting>
  <conditionalFormatting sqref="H367">
    <cfRule type="cellIs" dxfId="701" priority="1767" operator="equal">
      <formula>0</formula>
    </cfRule>
  </conditionalFormatting>
  <conditionalFormatting sqref="H367">
    <cfRule type="cellIs" dxfId="700" priority="1768" operator="equal">
      <formula>0</formula>
    </cfRule>
  </conditionalFormatting>
  <conditionalFormatting sqref="H367">
    <cfRule type="cellIs" dxfId="699" priority="1769" operator="equal">
      <formula>0</formula>
    </cfRule>
  </conditionalFormatting>
  <conditionalFormatting sqref="H367">
    <cfRule type="cellIs" dxfId="698" priority="1770" operator="equal">
      <formula>0</formula>
    </cfRule>
  </conditionalFormatting>
  <conditionalFormatting sqref="H367">
    <cfRule type="cellIs" dxfId="697" priority="1771" operator="equal">
      <formula>0</formula>
    </cfRule>
  </conditionalFormatting>
  <conditionalFormatting sqref="H367">
    <cfRule type="cellIs" dxfId="696" priority="1772" operator="equal">
      <formula>0</formula>
    </cfRule>
  </conditionalFormatting>
  <conditionalFormatting sqref="H367">
    <cfRule type="cellIs" dxfId="695" priority="1773" operator="equal">
      <formula>0</formula>
    </cfRule>
  </conditionalFormatting>
  <conditionalFormatting sqref="H367">
    <cfRule type="cellIs" dxfId="694" priority="1774" operator="equal">
      <formula>0</formula>
    </cfRule>
  </conditionalFormatting>
  <conditionalFormatting sqref="H367">
    <cfRule type="cellIs" dxfId="693" priority="1775" operator="equal">
      <formula>0</formula>
    </cfRule>
  </conditionalFormatting>
  <conditionalFormatting sqref="H367">
    <cfRule type="cellIs" dxfId="692" priority="1776" operator="equal">
      <formula>0</formula>
    </cfRule>
  </conditionalFormatting>
  <conditionalFormatting sqref="H367">
    <cfRule type="cellIs" dxfId="691" priority="1777" operator="equal">
      <formula>0</formula>
    </cfRule>
  </conditionalFormatting>
  <conditionalFormatting sqref="H367">
    <cfRule type="cellIs" dxfId="690" priority="1778" operator="equal">
      <formula>0</formula>
    </cfRule>
  </conditionalFormatting>
  <conditionalFormatting sqref="H367">
    <cfRule type="cellIs" dxfId="689" priority="1779" operator="equal">
      <formula>0</formula>
    </cfRule>
  </conditionalFormatting>
  <conditionalFormatting sqref="H367">
    <cfRule type="cellIs" dxfId="688" priority="1780" operator="equal">
      <formula>0</formula>
    </cfRule>
  </conditionalFormatting>
  <conditionalFormatting sqref="H367">
    <cfRule type="cellIs" dxfId="687" priority="1781" operator="equal">
      <formula>0</formula>
    </cfRule>
  </conditionalFormatting>
  <conditionalFormatting sqref="H367">
    <cfRule type="cellIs" dxfId="686" priority="1782" operator="equal">
      <formula>0</formula>
    </cfRule>
  </conditionalFormatting>
  <conditionalFormatting sqref="H367">
    <cfRule type="cellIs" dxfId="685" priority="1783" operator="equal">
      <formula>0</formula>
    </cfRule>
  </conditionalFormatting>
  <conditionalFormatting sqref="H367">
    <cfRule type="cellIs" dxfId="684" priority="1784" operator="equal">
      <formula>0</formula>
    </cfRule>
  </conditionalFormatting>
  <conditionalFormatting sqref="H367">
    <cfRule type="cellIs" dxfId="683" priority="1785" operator="equal">
      <formula>0</formula>
    </cfRule>
  </conditionalFormatting>
  <conditionalFormatting sqref="H367">
    <cfRule type="cellIs" dxfId="682" priority="1786" operator="equal">
      <formula>0</formula>
    </cfRule>
  </conditionalFormatting>
  <conditionalFormatting sqref="H367">
    <cfRule type="cellIs" dxfId="681" priority="1787" operator="equal">
      <formula>0</formula>
    </cfRule>
  </conditionalFormatting>
  <conditionalFormatting sqref="H367">
    <cfRule type="cellIs" dxfId="680" priority="1788" operator="equal">
      <formula>0</formula>
    </cfRule>
  </conditionalFormatting>
  <conditionalFormatting sqref="H367">
    <cfRule type="cellIs" dxfId="679" priority="1789" operator="equal">
      <formula>0</formula>
    </cfRule>
  </conditionalFormatting>
  <conditionalFormatting sqref="H367">
    <cfRule type="cellIs" dxfId="678" priority="1790" operator="equal">
      <formula>0</formula>
    </cfRule>
  </conditionalFormatting>
  <conditionalFormatting sqref="H367">
    <cfRule type="cellIs" dxfId="677" priority="1791" operator="equal">
      <formula>0</formula>
    </cfRule>
  </conditionalFormatting>
  <conditionalFormatting sqref="H367">
    <cfRule type="cellIs" dxfId="676" priority="1792" operator="equal">
      <formula>0</formula>
    </cfRule>
  </conditionalFormatting>
  <conditionalFormatting sqref="H367">
    <cfRule type="cellIs" dxfId="675" priority="1793" operator="equal">
      <formula>0</formula>
    </cfRule>
  </conditionalFormatting>
  <conditionalFormatting sqref="H367">
    <cfRule type="cellIs" dxfId="674" priority="1794" operator="equal">
      <formula>0</formula>
    </cfRule>
  </conditionalFormatting>
  <conditionalFormatting sqref="H367">
    <cfRule type="cellIs" dxfId="673" priority="1795" operator="equal">
      <formula>0</formula>
    </cfRule>
  </conditionalFormatting>
  <conditionalFormatting sqref="H367">
    <cfRule type="cellIs" dxfId="672" priority="1796" operator="equal">
      <formula>0</formula>
    </cfRule>
  </conditionalFormatting>
  <conditionalFormatting sqref="H367">
    <cfRule type="cellIs" dxfId="671" priority="1797" operator="equal">
      <formula>0</formula>
    </cfRule>
  </conditionalFormatting>
  <conditionalFormatting sqref="H367">
    <cfRule type="cellIs" dxfId="670" priority="1798" operator="equal">
      <formula>0</formula>
    </cfRule>
  </conditionalFormatting>
  <conditionalFormatting sqref="H367">
    <cfRule type="cellIs" dxfId="669" priority="1799" operator="equal">
      <formula>0</formula>
    </cfRule>
  </conditionalFormatting>
  <conditionalFormatting sqref="H367">
    <cfRule type="cellIs" dxfId="668" priority="1800" operator="equal">
      <formula>0</formula>
    </cfRule>
  </conditionalFormatting>
  <conditionalFormatting sqref="H367">
    <cfRule type="cellIs" dxfId="667" priority="1801" operator="equal">
      <formula>0</formula>
    </cfRule>
  </conditionalFormatting>
  <conditionalFormatting sqref="H367">
    <cfRule type="cellIs" dxfId="666" priority="1802" operator="equal">
      <formula>0</formula>
    </cfRule>
  </conditionalFormatting>
  <conditionalFormatting sqref="H367">
    <cfRule type="cellIs" dxfId="665" priority="1803" operator="equal">
      <formula>0</formula>
    </cfRule>
  </conditionalFormatting>
  <conditionalFormatting sqref="H367">
    <cfRule type="cellIs" dxfId="664" priority="1804" operator="equal">
      <formula>0</formula>
    </cfRule>
  </conditionalFormatting>
  <conditionalFormatting sqref="H367">
    <cfRule type="cellIs" dxfId="663" priority="1805" operator="equal">
      <formula>0</formula>
    </cfRule>
  </conditionalFormatting>
  <conditionalFormatting sqref="H367">
    <cfRule type="cellIs" dxfId="662" priority="1806" operator="equal">
      <formula>0</formula>
    </cfRule>
  </conditionalFormatting>
  <conditionalFormatting sqref="H367">
    <cfRule type="cellIs" dxfId="661" priority="1807" operator="equal">
      <formula>0</formula>
    </cfRule>
  </conditionalFormatting>
  <conditionalFormatting sqref="H367">
    <cfRule type="cellIs" dxfId="660" priority="1808" operator="equal">
      <formula>0</formula>
    </cfRule>
  </conditionalFormatting>
  <conditionalFormatting sqref="H367">
    <cfRule type="cellIs" dxfId="659" priority="1809" operator="equal">
      <formula>0</formula>
    </cfRule>
  </conditionalFormatting>
  <conditionalFormatting sqref="H367">
    <cfRule type="cellIs" dxfId="658" priority="1810" operator="equal">
      <formula>0</formula>
    </cfRule>
  </conditionalFormatting>
  <conditionalFormatting sqref="H367">
    <cfRule type="cellIs" dxfId="657" priority="1811" operator="equal">
      <formula>0</formula>
    </cfRule>
  </conditionalFormatting>
  <conditionalFormatting sqref="H367">
    <cfRule type="cellIs" dxfId="656" priority="1812" operator="equal">
      <formula>0</formula>
    </cfRule>
  </conditionalFormatting>
  <conditionalFormatting sqref="H367">
    <cfRule type="cellIs" dxfId="655" priority="1813" operator="equal">
      <formula>0</formula>
    </cfRule>
  </conditionalFormatting>
  <conditionalFormatting sqref="H367">
    <cfRule type="cellIs" dxfId="654" priority="1814" operator="equal">
      <formula>0</formula>
    </cfRule>
  </conditionalFormatting>
  <conditionalFormatting sqref="H367">
    <cfRule type="cellIs" dxfId="653" priority="1815" operator="equal">
      <formula>0</formula>
    </cfRule>
  </conditionalFormatting>
  <conditionalFormatting sqref="H367">
    <cfRule type="cellIs" dxfId="652" priority="1816" operator="equal">
      <formula>0</formula>
    </cfRule>
  </conditionalFormatting>
  <conditionalFormatting sqref="H367">
    <cfRule type="cellIs" dxfId="651" priority="1817" operator="equal">
      <formula>0</formula>
    </cfRule>
  </conditionalFormatting>
  <conditionalFormatting sqref="H367">
    <cfRule type="cellIs" dxfId="650" priority="1818" operator="equal">
      <formula>0</formula>
    </cfRule>
  </conditionalFormatting>
  <conditionalFormatting sqref="H367">
    <cfRule type="cellIs" dxfId="649" priority="1819" operator="equal">
      <formula>0</formula>
    </cfRule>
  </conditionalFormatting>
  <conditionalFormatting sqref="H367">
    <cfRule type="cellIs" dxfId="648" priority="1820" operator="equal">
      <formula>0</formula>
    </cfRule>
  </conditionalFormatting>
  <conditionalFormatting sqref="H367">
    <cfRule type="cellIs" dxfId="647" priority="1821" operator="equal">
      <formula>0</formula>
    </cfRule>
  </conditionalFormatting>
  <conditionalFormatting sqref="H367">
    <cfRule type="cellIs" dxfId="646" priority="1822" operator="equal">
      <formula>0</formula>
    </cfRule>
  </conditionalFormatting>
  <conditionalFormatting sqref="H367">
    <cfRule type="cellIs" dxfId="645" priority="1823" operator="equal">
      <formula>0</formula>
    </cfRule>
  </conditionalFormatting>
  <conditionalFormatting sqref="H367">
    <cfRule type="cellIs" dxfId="644" priority="1824" operator="equal">
      <formula>0</formula>
    </cfRule>
  </conditionalFormatting>
  <conditionalFormatting sqref="H367">
    <cfRule type="cellIs" dxfId="643" priority="1825" operator="equal">
      <formula>0</formula>
    </cfRule>
  </conditionalFormatting>
  <conditionalFormatting sqref="H367">
    <cfRule type="cellIs" dxfId="642" priority="1826" operator="equal">
      <formula>0</formula>
    </cfRule>
  </conditionalFormatting>
  <conditionalFormatting sqref="H367">
    <cfRule type="cellIs" dxfId="641" priority="1827" operator="equal">
      <formula>0</formula>
    </cfRule>
  </conditionalFormatting>
  <conditionalFormatting sqref="H367">
    <cfRule type="cellIs" dxfId="640" priority="1828" operator="equal">
      <formula>0</formula>
    </cfRule>
  </conditionalFormatting>
  <conditionalFormatting sqref="H367">
    <cfRule type="cellIs" dxfId="639" priority="1829" operator="equal">
      <formula>0</formula>
    </cfRule>
  </conditionalFormatting>
  <conditionalFormatting sqref="H367">
    <cfRule type="cellIs" dxfId="638" priority="1830" operator="equal">
      <formula>0</formula>
    </cfRule>
  </conditionalFormatting>
  <conditionalFormatting sqref="H367">
    <cfRule type="cellIs" dxfId="637" priority="1831" operator="equal">
      <formula>0</formula>
    </cfRule>
  </conditionalFormatting>
  <conditionalFormatting sqref="H411">
    <cfRule type="cellIs" dxfId="636" priority="1832" operator="equal">
      <formula>0</formula>
    </cfRule>
  </conditionalFormatting>
  <conditionalFormatting sqref="H411">
    <cfRule type="cellIs" dxfId="635" priority="1833" operator="equal">
      <formula>0</formula>
    </cfRule>
  </conditionalFormatting>
  <conditionalFormatting sqref="H411">
    <cfRule type="cellIs" dxfId="634" priority="1834" operator="equal">
      <formula>0</formula>
    </cfRule>
  </conditionalFormatting>
  <conditionalFormatting sqref="H411">
    <cfRule type="cellIs" dxfId="633" priority="1835" operator="equal">
      <formula>0</formula>
    </cfRule>
  </conditionalFormatting>
  <conditionalFormatting sqref="H411">
    <cfRule type="cellIs" dxfId="632" priority="1836" operator="equal">
      <formula>0</formula>
    </cfRule>
  </conditionalFormatting>
  <conditionalFormatting sqref="H411">
    <cfRule type="cellIs" dxfId="631" priority="1837" operator="equal">
      <formula>0</formula>
    </cfRule>
  </conditionalFormatting>
  <conditionalFormatting sqref="H411">
    <cfRule type="cellIs" dxfId="630" priority="1838" operator="equal">
      <formula>0</formula>
    </cfRule>
  </conditionalFormatting>
  <conditionalFormatting sqref="H411">
    <cfRule type="cellIs" dxfId="629" priority="1839" operator="equal">
      <formula>0</formula>
    </cfRule>
  </conditionalFormatting>
  <conditionalFormatting sqref="H411">
    <cfRule type="cellIs" dxfId="628" priority="1840" operator="equal">
      <formula>0</formula>
    </cfRule>
  </conditionalFormatting>
  <conditionalFormatting sqref="H411">
    <cfRule type="cellIs" dxfId="627" priority="1841" operator="equal">
      <formula>0</formula>
    </cfRule>
  </conditionalFormatting>
  <conditionalFormatting sqref="H411">
    <cfRule type="cellIs" dxfId="626" priority="1842" operator="equal">
      <formula>0</formula>
    </cfRule>
  </conditionalFormatting>
  <conditionalFormatting sqref="H411">
    <cfRule type="cellIs" dxfId="625" priority="1843" operator="equal">
      <formula>0</formula>
    </cfRule>
  </conditionalFormatting>
  <conditionalFormatting sqref="H411">
    <cfRule type="cellIs" dxfId="624" priority="1844" operator="equal">
      <formula>0</formula>
    </cfRule>
  </conditionalFormatting>
  <conditionalFormatting sqref="H411">
    <cfRule type="cellIs" dxfId="623" priority="1845" operator="equal">
      <formula>0</formula>
    </cfRule>
  </conditionalFormatting>
  <conditionalFormatting sqref="H411">
    <cfRule type="cellIs" dxfId="622" priority="1846" operator="equal">
      <formula>0</formula>
    </cfRule>
  </conditionalFormatting>
  <conditionalFormatting sqref="H411">
    <cfRule type="cellIs" dxfId="621" priority="1847" operator="equal">
      <formula>0</formula>
    </cfRule>
  </conditionalFormatting>
  <conditionalFormatting sqref="H411">
    <cfRule type="cellIs" dxfId="620" priority="1848" operator="equal">
      <formula>0</formula>
    </cfRule>
  </conditionalFormatting>
  <conditionalFormatting sqref="H411">
    <cfRule type="cellIs" dxfId="619" priority="1849" operator="equal">
      <formula>0</formula>
    </cfRule>
  </conditionalFormatting>
  <conditionalFormatting sqref="H411">
    <cfRule type="cellIs" dxfId="618" priority="1850" operator="equal">
      <formula>0</formula>
    </cfRule>
  </conditionalFormatting>
  <conditionalFormatting sqref="H411">
    <cfRule type="cellIs" dxfId="617" priority="1851" operator="equal">
      <formula>0</formula>
    </cfRule>
  </conditionalFormatting>
  <conditionalFormatting sqref="H411">
    <cfRule type="cellIs" dxfId="616" priority="1852" operator="equal">
      <formula>0</formula>
    </cfRule>
  </conditionalFormatting>
  <conditionalFormatting sqref="H411">
    <cfRule type="cellIs" dxfId="615" priority="1853" operator="equal">
      <formula>0</formula>
    </cfRule>
  </conditionalFormatting>
  <conditionalFormatting sqref="H411">
    <cfRule type="cellIs" dxfId="614" priority="1854" operator="equal">
      <formula>0</formula>
    </cfRule>
  </conditionalFormatting>
  <conditionalFormatting sqref="H411">
    <cfRule type="cellIs" dxfId="613" priority="1855" operator="equal">
      <formula>0</formula>
    </cfRule>
  </conditionalFormatting>
  <conditionalFormatting sqref="H411">
    <cfRule type="cellIs" dxfId="612" priority="1856" operator="equal">
      <formula>0</formula>
    </cfRule>
  </conditionalFormatting>
  <conditionalFormatting sqref="H411">
    <cfRule type="cellIs" dxfId="611" priority="1857" operator="equal">
      <formula>0</formula>
    </cfRule>
  </conditionalFormatting>
  <conditionalFormatting sqref="H411">
    <cfRule type="cellIs" dxfId="610" priority="1858" operator="equal">
      <formula>0</formula>
    </cfRule>
  </conditionalFormatting>
  <conditionalFormatting sqref="H411">
    <cfRule type="cellIs" dxfId="609" priority="1859" operator="equal">
      <formula>0</formula>
    </cfRule>
  </conditionalFormatting>
  <conditionalFormatting sqref="H411">
    <cfRule type="cellIs" dxfId="608" priority="1860" operator="equal">
      <formula>0</formula>
    </cfRule>
  </conditionalFormatting>
  <conditionalFormatting sqref="H411">
    <cfRule type="cellIs" dxfId="607" priority="1861" operator="equal">
      <formula>0</formula>
    </cfRule>
  </conditionalFormatting>
  <conditionalFormatting sqref="H411">
    <cfRule type="cellIs" dxfId="606" priority="1862" operator="equal">
      <formula>0</formula>
    </cfRule>
  </conditionalFormatting>
  <conditionalFormatting sqref="H411">
    <cfRule type="cellIs" dxfId="605" priority="1863" operator="equal">
      <formula>0</formula>
    </cfRule>
  </conditionalFormatting>
  <conditionalFormatting sqref="H411">
    <cfRule type="cellIs" dxfId="604" priority="1864" operator="equal">
      <formula>0</formula>
    </cfRule>
  </conditionalFormatting>
  <conditionalFormatting sqref="H411">
    <cfRule type="cellIs" dxfId="603" priority="1865" operator="equal">
      <formula>0</formula>
    </cfRule>
  </conditionalFormatting>
  <conditionalFormatting sqref="H411">
    <cfRule type="cellIs" dxfId="602" priority="1866" operator="equal">
      <formula>0</formula>
    </cfRule>
  </conditionalFormatting>
  <conditionalFormatting sqref="H411">
    <cfRule type="cellIs" dxfId="601" priority="1867" operator="equal">
      <formula>0</formula>
    </cfRule>
  </conditionalFormatting>
  <conditionalFormatting sqref="H411">
    <cfRule type="cellIs" dxfId="600" priority="1868" operator="equal">
      <formula>0</formula>
    </cfRule>
  </conditionalFormatting>
  <conditionalFormatting sqref="H411">
    <cfRule type="cellIs" dxfId="599" priority="1869" operator="equal">
      <formula>0</formula>
    </cfRule>
  </conditionalFormatting>
  <conditionalFormatting sqref="H411">
    <cfRule type="cellIs" dxfId="598" priority="1870" operator="equal">
      <formula>0</formula>
    </cfRule>
  </conditionalFormatting>
  <conditionalFormatting sqref="H411">
    <cfRule type="cellIs" dxfId="597" priority="1871" operator="equal">
      <formula>0</formula>
    </cfRule>
  </conditionalFormatting>
  <conditionalFormatting sqref="H411">
    <cfRule type="cellIs" dxfId="596" priority="1872" operator="equal">
      <formula>0</formula>
    </cfRule>
  </conditionalFormatting>
  <conditionalFormatting sqref="H411">
    <cfRule type="cellIs" dxfId="595" priority="1873" operator="equal">
      <formula>0</formula>
    </cfRule>
  </conditionalFormatting>
  <conditionalFormatting sqref="H411">
    <cfRule type="cellIs" dxfId="594" priority="1874" operator="equal">
      <formula>0</formula>
    </cfRule>
  </conditionalFormatting>
  <conditionalFormatting sqref="H411">
    <cfRule type="cellIs" dxfId="593" priority="1875" operator="equal">
      <formula>0</formula>
    </cfRule>
  </conditionalFormatting>
  <conditionalFormatting sqref="H411">
    <cfRule type="cellIs" dxfId="592" priority="1876" operator="equal">
      <formula>0</formula>
    </cfRule>
  </conditionalFormatting>
  <conditionalFormatting sqref="H411">
    <cfRule type="cellIs" dxfId="591" priority="1877" operator="equal">
      <formula>0</formula>
    </cfRule>
  </conditionalFormatting>
  <conditionalFormatting sqref="H411">
    <cfRule type="cellIs" dxfId="590" priority="1878" operator="equal">
      <formula>0</formula>
    </cfRule>
  </conditionalFormatting>
  <conditionalFormatting sqref="H411">
    <cfRule type="cellIs" dxfId="589" priority="1879" operator="equal">
      <formula>0</formula>
    </cfRule>
  </conditionalFormatting>
  <conditionalFormatting sqref="H411">
    <cfRule type="cellIs" dxfId="588" priority="1880" operator="equal">
      <formula>0</formula>
    </cfRule>
  </conditionalFormatting>
  <conditionalFormatting sqref="H411">
    <cfRule type="cellIs" dxfId="587" priority="1881" operator="equal">
      <formula>0</formula>
    </cfRule>
  </conditionalFormatting>
  <conditionalFormatting sqref="H411">
    <cfRule type="cellIs" dxfId="586" priority="1882" operator="equal">
      <formula>0</formula>
    </cfRule>
  </conditionalFormatting>
  <conditionalFormatting sqref="H411">
    <cfRule type="cellIs" dxfId="585" priority="1883" operator="equal">
      <formula>0</formula>
    </cfRule>
  </conditionalFormatting>
  <conditionalFormatting sqref="H411">
    <cfRule type="cellIs" dxfId="584" priority="1884" operator="equal">
      <formula>0</formula>
    </cfRule>
  </conditionalFormatting>
  <conditionalFormatting sqref="H411">
    <cfRule type="cellIs" dxfId="583" priority="1885" operator="equal">
      <formula>0</formula>
    </cfRule>
  </conditionalFormatting>
  <conditionalFormatting sqref="H411">
    <cfRule type="cellIs" dxfId="582" priority="1886" operator="equal">
      <formula>0</formula>
    </cfRule>
  </conditionalFormatting>
  <conditionalFormatting sqref="H411">
    <cfRule type="cellIs" dxfId="581" priority="1887" operator="equal">
      <formula>0</formula>
    </cfRule>
  </conditionalFormatting>
  <conditionalFormatting sqref="H411">
    <cfRule type="cellIs" dxfId="580" priority="1888" operator="equal">
      <formula>0</formula>
    </cfRule>
  </conditionalFormatting>
  <conditionalFormatting sqref="H411">
    <cfRule type="cellIs" dxfId="579" priority="1889" operator="equal">
      <formula>0</formula>
    </cfRule>
  </conditionalFormatting>
  <conditionalFormatting sqref="H411">
    <cfRule type="cellIs" dxfId="578" priority="1890" operator="equal">
      <formula>0</formula>
    </cfRule>
  </conditionalFormatting>
  <conditionalFormatting sqref="H411">
    <cfRule type="cellIs" dxfId="577" priority="1891" operator="equal">
      <formula>0</formula>
    </cfRule>
  </conditionalFormatting>
  <conditionalFormatting sqref="H411">
    <cfRule type="cellIs" dxfId="576" priority="1892" operator="equal">
      <formula>0</formula>
    </cfRule>
  </conditionalFormatting>
  <conditionalFormatting sqref="H411">
    <cfRule type="cellIs" dxfId="575" priority="1893" operator="equal">
      <formula>0</formula>
    </cfRule>
  </conditionalFormatting>
  <conditionalFormatting sqref="H411">
    <cfRule type="cellIs" dxfId="574" priority="1894" operator="equal">
      <formula>0</formula>
    </cfRule>
  </conditionalFormatting>
  <conditionalFormatting sqref="H411">
    <cfRule type="cellIs" dxfId="573" priority="1895" operator="equal">
      <formula>0</formula>
    </cfRule>
  </conditionalFormatting>
  <conditionalFormatting sqref="H411">
    <cfRule type="cellIs" dxfId="572" priority="1896" operator="equal">
      <formula>0</formula>
    </cfRule>
  </conditionalFormatting>
  <conditionalFormatting sqref="H411">
    <cfRule type="cellIs" dxfId="571" priority="1897" operator="equal">
      <formula>0</formula>
    </cfRule>
  </conditionalFormatting>
  <conditionalFormatting sqref="H411">
    <cfRule type="cellIs" dxfId="570" priority="1898" operator="equal">
      <formula>0</formula>
    </cfRule>
  </conditionalFormatting>
  <conditionalFormatting sqref="H411">
    <cfRule type="cellIs" dxfId="569" priority="1899" operator="equal">
      <formula>0</formula>
    </cfRule>
  </conditionalFormatting>
  <conditionalFormatting sqref="H411">
    <cfRule type="cellIs" dxfId="568" priority="1900" operator="equal">
      <formula>0</formula>
    </cfRule>
  </conditionalFormatting>
  <conditionalFormatting sqref="H411">
    <cfRule type="cellIs" dxfId="567" priority="1901" operator="equal">
      <formula>0</formula>
    </cfRule>
  </conditionalFormatting>
  <conditionalFormatting sqref="H411">
    <cfRule type="cellIs" dxfId="566" priority="1902" operator="equal">
      <formula>0</formula>
    </cfRule>
  </conditionalFormatting>
  <conditionalFormatting sqref="H411">
    <cfRule type="cellIs" dxfId="565" priority="1903" operator="equal">
      <formula>0</formula>
    </cfRule>
  </conditionalFormatting>
  <conditionalFormatting sqref="H411">
    <cfRule type="cellIs" dxfId="564" priority="1904" operator="equal">
      <formula>0</formula>
    </cfRule>
  </conditionalFormatting>
  <conditionalFormatting sqref="H411">
    <cfRule type="cellIs" dxfId="563" priority="1905" operator="equal">
      <formula>0</formula>
    </cfRule>
  </conditionalFormatting>
  <conditionalFormatting sqref="H411">
    <cfRule type="cellIs" dxfId="562" priority="1906" operator="equal">
      <formula>0</formula>
    </cfRule>
  </conditionalFormatting>
  <conditionalFormatting sqref="H411">
    <cfRule type="cellIs" dxfId="561" priority="1907" operator="equal">
      <formula>0</formula>
    </cfRule>
  </conditionalFormatting>
  <conditionalFormatting sqref="H411">
    <cfRule type="cellIs" dxfId="560" priority="1908" operator="equal">
      <formula>0</formula>
    </cfRule>
  </conditionalFormatting>
  <conditionalFormatting sqref="H411">
    <cfRule type="cellIs" dxfId="559" priority="1909" operator="equal">
      <formula>0</formula>
    </cfRule>
  </conditionalFormatting>
  <conditionalFormatting sqref="H411">
    <cfRule type="cellIs" dxfId="558" priority="1910" operator="equal">
      <formula>0</formula>
    </cfRule>
  </conditionalFormatting>
  <conditionalFormatting sqref="H411">
    <cfRule type="cellIs" dxfId="557" priority="1911" operator="equal">
      <formula>0</formula>
    </cfRule>
  </conditionalFormatting>
  <conditionalFormatting sqref="H411">
    <cfRule type="cellIs" dxfId="556" priority="1912" operator="equal">
      <formula>0</formula>
    </cfRule>
  </conditionalFormatting>
  <conditionalFormatting sqref="H411">
    <cfRule type="cellIs" dxfId="555" priority="1913" operator="equal">
      <formula>0</formula>
    </cfRule>
  </conditionalFormatting>
  <conditionalFormatting sqref="H411">
    <cfRule type="cellIs" dxfId="554" priority="1914" operator="equal">
      <formula>0</formula>
    </cfRule>
  </conditionalFormatting>
  <conditionalFormatting sqref="H411">
    <cfRule type="cellIs" dxfId="553" priority="1915" operator="equal">
      <formula>0</formula>
    </cfRule>
  </conditionalFormatting>
  <conditionalFormatting sqref="H411">
    <cfRule type="cellIs" dxfId="552" priority="1916" operator="equal">
      <formula>0</formula>
    </cfRule>
  </conditionalFormatting>
  <conditionalFormatting sqref="H411">
    <cfRule type="cellIs" dxfId="551" priority="1917" operator="equal">
      <formula>0</formula>
    </cfRule>
  </conditionalFormatting>
  <conditionalFormatting sqref="H411">
    <cfRule type="cellIs" dxfId="550" priority="1918" operator="equal">
      <formula>0</formula>
    </cfRule>
  </conditionalFormatting>
  <conditionalFormatting sqref="H411">
    <cfRule type="cellIs" dxfId="549" priority="1919" operator="equal">
      <formula>0</formula>
    </cfRule>
  </conditionalFormatting>
  <conditionalFormatting sqref="H411">
    <cfRule type="cellIs" dxfId="548" priority="1920" operator="equal">
      <formula>0</formula>
    </cfRule>
  </conditionalFormatting>
  <conditionalFormatting sqref="H411">
    <cfRule type="cellIs" dxfId="547" priority="1921" operator="equal">
      <formula>0</formula>
    </cfRule>
  </conditionalFormatting>
  <conditionalFormatting sqref="H411">
    <cfRule type="cellIs" dxfId="546" priority="1922" operator="equal">
      <formula>0</formula>
    </cfRule>
  </conditionalFormatting>
  <conditionalFormatting sqref="H455">
    <cfRule type="cellIs" dxfId="545" priority="1923" operator="equal">
      <formula>0</formula>
    </cfRule>
  </conditionalFormatting>
  <conditionalFormatting sqref="H455">
    <cfRule type="cellIs" dxfId="544" priority="1924" operator="equal">
      <formula>0</formula>
    </cfRule>
  </conditionalFormatting>
  <conditionalFormatting sqref="H455">
    <cfRule type="cellIs" dxfId="543" priority="1925" operator="equal">
      <formula>0</formula>
    </cfRule>
  </conditionalFormatting>
  <conditionalFormatting sqref="H455">
    <cfRule type="cellIs" dxfId="542" priority="1926" operator="equal">
      <formula>0</formula>
    </cfRule>
  </conditionalFormatting>
  <conditionalFormatting sqref="H455">
    <cfRule type="cellIs" dxfId="541" priority="1927" operator="equal">
      <formula>0</formula>
    </cfRule>
  </conditionalFormatting>
  <conditionalFormatting sqref="H455">
    <cfRule type="cellIs" dxfId="540" priority="1928" operator="equal">
      <formula>0</formula>
    </cfRule>
  </conditionalFormatting>
  <conditionalFormatting sqref="H455">
    <cfRule type="cellIs" dxfId="539" priority="1929" operator="equal">
      <formula>0</formula>
    </cfRule>
  </conditionalFormatting>
  <conditionalFormatting sqref="H455">
    <cfRule type="cellIs" dxfId="538" priority="1930" operator="equal">
      <formula>0</formula>
    </cfRule>
  </conditionalFormatting>
  <conditionalFormatting sqref="H455">
    <cfRule type="cellIs" dxfId="537" priority="1931" operator="equal">
      <formula>0</formula>
    </cfRule>
  </conditionalFormatting>
  <conditionalFormatting sqref="H455">
    <cfRule type="cellIs" dxfId="536" priority="1932" operator="equal">
      <formula>0</formula>
    </cfRule>
  </conditionalFormatting>
  <conditionalFormatting sqref="H455">
    <cfRule type="cellIs" dxfId="535" priority="1933" operator="equal">
      <formula>0</formula>
    </cfRule>
  </conditionalFormatting>
  <conditionalFormatting sqref="H455">
    <cfRule type="cellIs" dxfId="534" priority="1934" operator="equal">
      <formula>0</formula>
    </cfRule>
  </conditionalFormatting>
  <conditionalFormatting sqref="H455">
    <cfRule type="cellIs" dxfId="533" priority="1935" operator="equal">
      <formula>0</formula>
    </cfRule>
  </conditionalFormatting>
  <conditionalFormatting sqref="H455">
    <cfRule type="cellIs" dxfId="532" priority="1936" operator="equal">
      <formula>0</formula>
    </cfRule>
  </conditionalFormatting>
  <conditionalFormatting sqref="H455">
    <cfRule type="cellIs" dxfId="531" priority="1937" operator="equal">
      <formula>0</formula>
    </cfRule>
  </conditionalFormatting>
  <conditionalFormatting sqref="H455">
    <cfRule type="cellIs" dxfId="530" priority="1938" operator="equal">
      <formula>0</formula>
    </cfRule>
  </conditionalFormatting>
  <conditionalFormatting sqref="H455">
    <cfRule type="cellIs" dxfId="529" priority="1939" operator="equal">
      <formula>0</formula>
    </cfRule>
  </conditionalFormatting>
  <conditionalFormatting sqref="H455">
    <cfRule type="cellIs" dxfId="528" priority="1940" operator="equal">
      <formula>0</formula>
    </cfRule>
  </conditionalFormatting>
  <conditionalFormatting sqref="H455">
    <cfRule type="cellIs" dxfId="527" priority="1941" operator="equal">
      <formula>0</formula>
    </cfRule>
  </conditionalFormatting>
  <conditionalFormatting sqref="H455">
    <cfRule type="cellIs" dxfId="526" priority="1942" operator="equal">
      <formula>0</formula>
    </cfRule>
  </conditionalFormatting>
  <conditionalFormatting sqref="H455">
    <cfRule type="cellIs" dxfId="525" priority="1943" operator="equal">
      <formula>0</formula>
    </cfRule>
  </conditionalFormatting>
  <conditionalFormatting sqref="H455">
    <cfRule type="cellIs" dxfId="524" priority="1944" operator="equal">
      <formula>0</formula>
    </cfRule>
  </conditionalFormatting>
  <conditionalFormatting sqref="H455">
    <cfRule type="cellIs" dxfId="523" priority="1945" operator="equal">
      <formula>0</formula>
    </cfRule>
  </conditionalFormatting>
  <conditionalFormatting sqref="H455">
    <cfRule type="cellIs" dxfId="522" priority="1946" operator="equal">
      <formula>0</formula>
    </cfRule>
  </conditionalFormatting>
  <conditionalFormatting sqref="H455">
    <cfRule type="cellIs" dxfId="521" priority="1947" operator="equal">
      <formula>0</formula>
    </cfRule>
  </conditionalFormatting>
  <conditionalFormatting sqref="H455">
    <cfRule type="cellIs" dxfId="520" priority="1948" operator="equal">
      <formula>0</formula>
    </cfRule>
  </conditionalFormatting>
  <conditionalFormatting sqref="H455">
    <cfRule type="cellIs" dxfId="519" priority="1949" operator="equal">
      <formula>0</formula>
    </cfRule>
  </conditionalFormatting>
  <conditionalFormatting sqref="H455">
    <cfRule type="cellIs" dxfId="518" priority="1950" operator="equal">
      <formula>0</formula>
    </cfRule>
  </conditionalFormatting>
  <conditionalFormatting sqref="H455">
    <cfRule type="cellIs" dxfId="517" priority="1951" operator="equal">
      <formula>0</formula>
    </cfRule>
  </conditionalFormatting>
  <conditionalFormatting sqref="H455">
    <cfRule type="cellIs" dxfId="516" priority="1952" operator="equal">
      <formula>0</formula>
    </cfRule>
  </conditionalFormatting>
  <conditionalFormatting sqref="H455">
    <cfRule type="cellIs" dxfId="515" priority="1953" operator="equal">
      <formula>0</formula>
    </cfRule>
  </conditionalFormatting>
  <conditionalFormatting sqref="H455">
    <cfRule type="cellIs" dxfId="514" priority="1954" operator="equal">
      <formula>0</formula>
    </cfRule>
  </conditionalFormatting>
  <conditionalFormatting sqref="H455">
    <cfRule type="cellIs" dxfId="513" priority="1955" operator="equal">
      <formula>0</formula>
    </cfRule>
  </conditionalFormatting>
  <conditionalFormatting sqref="H455">
    <cfRule type="cellIs" dxfId="512" priority="1956" operator="equal">
      <formula>0</formula>
    </cfRule>
  </conditionalFormatting>
  <conditionalFormatting sqref="H455">
    <cfRule type="cellIs" dxfId="511" priority="1957" operator="equal">
      <formula>0</formula>
    </cfRule>
  </conditionalFormatting>
  <conditionalFormatting sqref="H455">
    <cfRule type="cellIs" dxfId="510" priority="1958" operator="equal">
      <formula>0</formula>
    </cfRule>
  </conditionalFormatting>
  <conditionalFormatting sqref="H455">
    <cfRule type="cellIs" dxfId="509" priority="1959" operator="equal">
      <formula>0</formula>
    </cfRule>
  </conditionalFormatting>
  <conditionalFormatting sqref="H455">
    <cfRule type="cellIs" dxfId="508" priority="1960" operator="equal">
      <formula>0</formula>
    </cfRule>
  </conditionalFormatting>
  <conditionalFormatting sqref="H455">
    <cfRule type="cellIs" dxfId="507" priority="1961" operator="equal">
      <formula>0</formula>
    </cfRule>
  </conditionalFormatting>
  <conditionalFormatting sqref="H455">
    <cfRule type="cellIs" dxfId="506" priority="1962" operator="equal">
      <formula>0</formula>
    </cfRule>
  </conditionalFormatting>
  <conditionalFormatting sqref="H455">
    <cfRule type="cellIs" dxfId="505" priority="1963" operator="equal">
      <formula>0</formula>
    </cfRule>
  </conditionalFormatting>
  <conditionalFormatting sqref="H455">
    <cfRule type="cellIs" dxfId="504" priority="1964" operator="equal">
      <formula>0</formula>
    </cfRule>
  </conditionalFormatting>
  <conditionalFormatting sqref="H455">
    <cfRule type="cellIs" dxfId="503" priority="1965" operator="equal">
      <formula>0</formula>
    </cfRule>
  </conditionalFormatting>
  <conditionalFormatting sqref="H455">
    <cfRule type="cellIs" dxfId="502" priority="1966" operator="equal">
      <formula>0</formula>
    </cfRule>
  </conditionalFormatting>
  <conditionalFormatting sqref="H455">
    <cfRule type="cellIs" dxfId="501" priority="1967" operator="equal">
      <formula>0</formula>
    </cfRule>
  </conditionalFormatting>
  <conditionalFormatting sqref="H455">
    <cfRule type="cellIs" dxfId="500" priority="1968" operator="equal">
      <formula>0</formula>
    </cfRule>
  </conditionalFormatting>
  <conditionalFormatting sqref="H455">
    <cfRule type="cellIs" dxfId="499" priority="1969" operator="equal">
      <formula>0</formula>
    </cfRule>
  </conditionalFormatting>
  <conditionalFormatting sqref="H455">
    <cfRule type="cellIs" dxfId="498" priority="1970" operator="equal">
      <formula>0</formula>
    </cfRule>
  </conditionalFormatting>
  <conditionalFormatting sqref="H455">
    <cfRule type="cellIs" dxfId="497" priority="1971" operator="equal">
      <formula>0</formula>
    </cfRule>
  </conditionalFormatting>
  <conditionalFormatting sqref="H455">
    <cfRule type="cellIs" dxfId="496" priority="1972" operator="equal">
      <formula>0</formula>
    </cfRule>
  </conditionalFormatting>
  <conditionalFormatting sqref="H455">
    <cfRule type="cellIs" dxfId="495" priority="1973" operator="equal">
      <formula>0</formula>
    </cfRule>
  </conditionalFormatting>
  <conditionalFormatting sqref="H455">
    <cfRule type="cellIs" dxfId="494" priority="1974" operator="equal">
      <formula>0</formula>
    </cfRule>
  </conditionalFormatting>
  <conditionalFormatting sqref="H455">
    <cfRule type="cellIs" dxfId="493" priority="1975" operator="equal">
      <formula>0</formula>
    </cfRule>
  </conditionalFormatting>
  <conditionalFormatting sqref="H455">
    <cfRule type="cellIs" dxfId="492" priority="1976" operator="equal">
      <formula>0</formula>
    </cfRule>
  </conditionalFormatting>
  <conditionalFormatting sqref="H455">
    <cfRule type="cellIs" dxfId="491" priority="1977" operator="equal">
      <formula>0</formula>
    </cfRule>
  </conditionalFormatting>
  <conditionalFormatting sqref="H455">
    <cfRule type="cellIs" dxfId="490" priority="1978" operator="equal">
      <formula>0</formula>
    </cfRule>
  </conditionalFormatting>
  <conditionalFormatting sqref="H455">
    <cfRule type="cellIs" dxfId="489" priority="1979" operator="equal">
      <formula>0</formula>
    </cfRule>
  </conditionalFormatting>
  <conditionalFormatting sqref="H455">
    <cfRule type="cellIs" dxfId="488" priority="1980" operator="equal">
      <formula>0</formula>
    </cfRule>
  </conditionalFormatting>
  <conditionalFormatting sqref="H455">
    <cfRule type="cellIs" dxfId="487" priority="1981" operator="equal">
      <formula>0</formula>
    </cfRule>
  </conditionalFormatting>
  <conditionalFormatting sqref="H455">
    <cfRule type="cellIs" dxfId="486" priority="1982" operator="equal">
      <formula>0</formula>
    </cfRule>
  </conditionalFormatting>
  <conditionalFormatting sqref="H455">
    <cfRule type="cellIs" dxfId="485" priority="1983" operator="equal">
      <formula>0</formula>
    </cfRule>
  </conditionalFormatting>
  <conditionalFormatting sqref="H455">
    <cfRule type="cellIs" dxfId="484" priority="1984" operator="equal">
      <formula>0</formula>
    </cfRule>
  </conditionalFormatting>
  <conditionalFormatting sqref="H455">
    <cfRule type="cellIs" dxfId="483" priority="1985" operator="equal">
      <formula>0</formula>
    </cfRule>
  </conditionalFormatting>
  <conditionalFormatting sqref="H455">
    <cfRule type="cellIs" dxfId="482" priority="1986" operator="equal">
      <formula>0</formula>
    </cfRule>
  </conditionalFormatting>
  <conditionalFormatting sqref="H455">
    <cfRule type="cellIs" dxfId="481" priority="1987" operator="equal">
      <formula>0</formula>
    </cfRule>
  </conditionalFormatting>
  <conditionalFormatting sqref="H455">
    <cfRule type="cellIs" dxfId="480" priority="1988" operator="equal">
      <formula>0</formula>
    </cfRule>
  </conditionalFormatting>
  <conditionalFormatting sqref="H455">
    <cfRule type="cellIs" dxfId="479" priority="1989" operator="equal">
      <formula>0</formula>
    </cfRule>
  </conditionalFormatting>
  <conditionalFormatting sqref="H455">
    <cfRule type="cellIs" dxfId="478" priority="1990" operator="equal">
      <formula>0</formula>
    </cfRule>
  </conditionalFormatting>
  <conditionalFormatting sqref="H455">
    <cfRule type="cellIs" dxfId="477" priority="1991" operator="equal">
      <formula>0</formula>
    </cfRule>
  </conditionalFormatting>
  <conditionalFormatting sqref="H455">
    <cfRule type="cellIs" dxfId="476" priority="1992" operator="equal">
      <formula>0</formula>
    </cfRule>
  </conditionalFormatting>
  <conditionalFormatting sqref="H455">
    <cfRule type="cellIs" dxfId="475" priority="1993" operator="equal">
      <formula>0</formula>
    </cfRule>
  </conditionalFormatting>
  <conditionalFormatting sqref="H455">
    <cfRule type="cellIs" dxfId="474" priority="1994" operator="equal">
      <formula>0</formula>
    </cfRule>
  </conditionalFormatting>
  <conditionalFormatting sqref="H455">
    <cfRule type="cellIs" dxfId="473" priority="1995" operator="equal">
      <formula>0</formula>
    </cfRule>
  </conditionalFormatting>
  <conditionalFormatting sqref="H455">
    <cfRule type="cellIs" dxfId="472" priority="1996" operator="equal">
      <formula>0</formula>
    </cfRule>
  </conditionalFormatting>
  <conditionalFormatting sqref="H455">
    <cfRule type="cellIs" dxfId="471" priority="1997" operator="equal">
      <formula>0</formula>
    </cfRule>
  </conditionalFormatting>
  <conditionalFormatting sqref="H455">
    <cfRule type="cellIs" dxfId="470" priority="1998" operator="equal">
      <formula>0</formula>
    </cfRule>
  </conditionalFormatting>
  <conditionalFormatting sqref="H455">
    <cfRule type="cellIs" dxfId="469" priority="1999" operator="equal">
      <formula>0</formula>
    </cfRule>
  </conditionalFormatting>
  <conditionalFormatting sqref="H455">
    <cfRule type="cellIs" dxfId="468" priority="2000" operator="equal">
      <formula>0</formula>
    </cfRule>
  </conditionalFormatting>
  <conditionalFormatting sqref="H455">
    <cfRule type="cellIs" dxfId="467" priority="2001" operator="equal">
      <formula>0</formula>
    </cfRule>
  </conditionalFormatting>
  <conditionalFormatting sqref="H455">
    <cfRule type="cellIs" dxfId="466" priority="2002" operator="equal">
      <formula>0</formula>
    </cfRule>
  </conditionalFormatting>
  <conditionalFormatting sqref="H455">
    <cfRule type="cellIs" dxfId="465" priority="2003" operator="equal">
      <formula>0</formula>
    </cfRule>
  </conditionalFormatting>
  <conditionalFormatting sqref="H455">
    <cfRule type="cellIs" dxfId="464" priority="2004" operator="equal">
      <formula>0</formula>
    </cfRule>
  </conditionalFormatting>
  <conditionalFormatting sqref="H455">
    <cfRule type="cellIs" dxfId="463" priority="2005" operator="equal">
      <formula>0</formula>
    </cfRule>
  </conditionalFormatting>
  <conditionalFormatting sqref="H455">
    <cfRule type="cellIs" dxfId="462" priority="2006" operator="equal">
      <formula>0</formula>
    </cfRule>
  </conditionalFormatting>
  <conditionalFormatting sqref="H455">
    <cfRule type="cellIs" dxfId="461" priority="2007" operator="equal">
      <formula>0</formula>
    </cfRule>
  </conditionalFormatting>
  <conditionalFormatting sqref="H455">
    <cfRule type="cellIs" dxfId="460" priority="2008" operator="equal">
      <formula>0</formula>
    </cfRule>
  </conditionalFormatting>
  <conditionalFormatting sqref="H455">
    <cfRule type="cellIs" dxfId="459" priority="2009" operator="equal">
      <formula>0</formula>
    </cfRule>
  </conditionalFormatting>
  <conditionalFormatting sqref="H455">
    <cfRule type="cellIs" dxfId="458" priority="2010" operator="equal">
      <formula>0</formula>
    </cfRule>
  </conditionalFormatting>
  <conditionalFormatting sqref="H455">
    <cfRule type="cellIs" dxfId="457" priority="2011" operator="equal">
      <formula>0</formula>
    </cfRule>
  </conditionalFormatting>
  <conditionalFormatting sqref="H455">
    <cfRule type="cellIs" dxfId="456" priority="2012" operator="equal">
      <formula>0</formula>
    </cfRule>
  </conditionalFormatting>
  <conditionalFormatting sqref="H455">
    <cfRule type="cellIs" dxfId="455" priority="2013" operator="equal">
      <formula>0</formula>
    </cfRule>
  </conditionalFormatting>
  <conditionalFormatting sqref="H499">
    <cfRule type="cellIs" dxfId="454" priority="2014" operator="equal">
      <formula>0</formula>
    </cfRule>
  </conditionalFormatting>
  <conditionalFormatting sqref="H499">
    <cfRule type="cellIs" dxfId="453" priority="2015" operator="equal">
      <formula>0</formula>
    </cfRule>
  </conditionalFormatting>
  <conditionalFormatting sqref="H499">
    <cfRule type="cellIs" dxfId="452" priority="2016" operator="equal">
      <formula>0</formula>
    </cfRule>
  </conditionalFormatting>
  <conditionalFormatting sqref="H499">
    <cfRule type="cellIs" dxfId="451" priority="2017" operator="equal">
      <formula>0</formula>
    </cfRule>
  </conditionalFormatting>
  <conditionalFormatting sqref="H499">
    <cfRule type="cellIs" dxfId="450" priority="2018" operator="equal">
      <formula>0</formula>
    </cfRule>
  </conditionalFormatting>
  <conditionalFormatting sqref="H499">
    <cfRule type="cellIs" dxfId="449" priority="2019" operator="equal">
      <formula>0</formula>
    </cfRule>
  </conditionalFormatting>
  <conditionalFormatting sqref="H499">
    <cfRule type="cellIs" dxfId="448" priority="2020" operator="equal">
      <formula>0</formula>
    </cfRule>
  </conditionalFormatting>
  <conditionalFormatting sqref="H499">
    <cfRule type="cellIs" dxfId="447" priority="2021" operator="equal">
      <formula>0</formula>
    </cfRule>
  </conditionalFormatting>
  <conditionalFormatting sqref="H499">
    <cfRule type="cellIs" dxfId="446" priority="2022" operator="equal">
      <formula>0</formula>
    </cfRule>
  </conditionalFormatting>
  <conditionalFormatting sqref="H499">
    <cfRule type="cellIs" dxfId="445" priority="2023" operator="equal">
      <formula>0</formula>
    </cfRule>
  </conditionalFormatting>
  <conditionalFormatting sqref="H499">
    <cfRule type="cellIs" dxfId="444" priority="2024" operator="equal">
      <formula>0</formula>
    </cfRule>
  </conditionalFormatting>
  <conditionalFormatting sqref="H499">
    <cfRule type="cellIs" dxfId="443" priority="2025" operator="equal">
      <formula>0</formula>
    </cfRule>
  </conditionalFormatting>
  <conditionalFormatting sqref="H499">
    <cfRule type="cellIs" dxfId="442" priority="2026" operator="equal">
      <formula>0</formula>
    </cfRule>
  </conditionalFormatting>
  <conditionalFormatting sqref="H499">
    <cfRule type="cellIs" dxfId="441" priority="2027" operator="equal">
      <formula>0</formula>
    </cfRule>
  </conditionalFormatting>
  <conditionalFormatting sqref="H499">
    <cfRule type="cellIs" dxfId="440" priority="2028" operator="equal">
      <formula>0</formula>
    </cfRule>
  </conditionalFormatting>
  <conditionalFormatting sqref="H499">
    <cfRule type="cellIs" dxfId="439" priority="2029" operator="equal">
      <formula>0</formula>
    </cfRule>
  </conditionalFormatting>
  <conditionalFormatting sqref="H499">
    <cfRule type="cellIs" dxfId="438" priority="2030" operator="equal">
      <formula>0</formula>
    </cfRule>
  </conditionalFormatting>
  <conditionalFormatting sqref="H499">
    <cfRule type="cellIs" dxfId="437" priority="2031" operator="equal">
      <formula>0</formula>
    </cfRule>
  </conditionalFormatting>
  <conditionalFormatting sqref="H499">
    <cfRule type="cellIs" dxfId="436" priority="2032" operator="equal">
      <formula>0</formula>
    </cfRule>
  </conditionalFormatting>
  <conditionalFormatting sqref="H499">
    <cfRule type="cellIs" dxfId="435" priority="2033" operator="equal">
      <formula>0</formula>
    </cfRule>
  </conditionalFormatting>
  <conditionalFormatting sqref="H499">
    <cfRule type="cellIs" dxfId="434" priority="2034" operator="equal">
      <formula>0</formula>
    </cfRule>
  </conditionalFormatting>
  <conditionalFormatting sqref="H499">
    <cfRule type="cellIs" dxfId="433" priority="2035" operator="equal">
      <formula>0</formula>
    </cfRule>
  </conditionalFormatting>
  <conditionalFormatting sqref="H499">
    <cfRule type="cellIs" dxfId="432" priority="2036" operator="equal">
      <formula>0</formula>
    </cfRule>
  </conditionalFormatting>
  <conditionalFormatting sqref="H499">
    <cfRule type="cellIs" dxfId="431" priority="2037" operator="equal">
      <formula>0</formula>
    </cfRule>
  </conditionalFormatting>
  <conditionalFormatting sqref="H499">
    <cfRule type="cellIs" dxfId="430" priority="2038" operator="equal">
      <formula>0</formula>
    </cfRule>
  </conditionalFormatting>
  <conditionalFormatting sqref="H499">
    <cfRule type="cellIs" dxfId="429" priority="2039" operator="equal">
      <formula>0</formula>
    </cfRule>
  </conditionalFormatting>
  <conditionalFormatting sqref="H499">
    <cfRule type="cellIs" dxfId="428" priority="2040" operator="equal">
      <formula>0</formula>
    </cfRule>
  </conditionalFormatting>
  <conditionalFormatting sqref="H499">
    <cfRule type="cellIs" dxfId="427" priority="2041" operator="equal">
      <formula>0</formula>
    </cfRule>
  </conditionalFormatting>
  <conditionalFormatting sqref="H499">
    <cfRule type="cellIs" dxfId="426" priority="2042" operator="equal">
      <formula>0</formula>
    </cfRule>
  </conditionalFormatting>
  <conditionalFormatting sqref="H499">
    <cfRule type="cellIs" dxfId="425" priority="2043" operator="equal">
      <formula>0</formula>
    </cfRule>
  </conditionalFormatting>
  <conditionalFormatting sqref="H499">
    <cfRule type="cellIs" dxfId="424" priority="2044" operator="equal">
      <formula>0</formula>
    </cfRule>
  </conditionalFormatting>
  <conditionalFormatting sqref="H499">
    <cfRule type="cellIs" dxfId="423" priority="2045" operator="equal">
      <formula>0</formula>
    </cfRule>
  </conditionalFormatting>
  <conditionalFormatting sqref="H499">
    <cfRule type="cellIs" dxfId="422" priority="2046" operator="equal">
      <formula>0</formula>
    </cfRule>
  </conditionalFormatting>
  <conditionalFormatting sqref="H499">
    <cfRule type="cellIs" dxfId="421" priority="2047" operator="equal">
      <formula>0</formula>
    </cfRule>
  </conditionalFormatting>
  <conditionalFormatting sqref="H499">
    <cfRule type="cellIs" dxfId="420" priority="2048" operator="equal">
      <formula>0</formula>
    </cfRule>
  </conditionalFormatting>
  <conditionalFormatting sqref="H499">
    <cfRule type="cellIs" dxfId="419" priority="2049" operator="equal">
      <formula>0</formula>
    </cfRule>
  </conditionalFormatting>
  <conditionalFormatting sqref="H499">
    <cfRule type="cellIs" dxfId="418" priority="2050" operator="equal">
      <formula>0</formula>
    </cfRule>
  </conditionalFormatting>
  <conditionalFormatting sqref="H499">
    <cfRule type="cellIs" dxfId="417" priority="2051" operator="equal">
      <formula>0</formula>
    </cfRule>
  </conditionalFormatting>
  <conditionalFormatting sqref="H499">
    <cfRule type="cellIs" dxfId="416" priority="2052" operator="equal">
      <formula>0</formula>
    </cfRule>
  </conditionalFormatting>
  <conditionalFormatting sqref="H499">
    <cfRule type="cellIs" dxfId="415" priority="2053" operator="equal">
      <formula>0</formula>
    </cfRule>
  </conditionalFormatting>
  <conditionalFormatting sqref="H499">
    <cfRule type="cellIs" dxfId="414" priority="2054" operator="equal">
      <formula>0</formula>
    </cfRule>
  </conditionalFormatting>
  <conditionalFormatting sqref="H499">
    <cfRule type="cellIs" dxfId="413" priority="2055" operator="equal">
      <formula>0</formula>
    </cfRule>
  </conditionalFormatting>
  <conditionalFormatting sqref="H499">
    <cfRule type="cellIs" dxfId="412" priority="2056" operator="equal">
      <formula>0</formula>
    </cfRule>
  </conditionalFormatting>
  <conditionalFormatting sqref="H499">
    <cfRule type="cellIs" dxfId="411" priority="2057" operator="equal">
      <formula>0</formula>
    </cfRule>
  </conditionalFormatting>
  <conditionalFormatting sqref="H499">
    <cfRule type="cellIs" dxfId="410" priority="2058" operator="equal">
      <formula>0</formula>
    </cfRule>
  </conditionalFormatting>
  <conditionalFormatting sqref="H499">
    <cfRule type="cellIs" dxfId="409" priority="2059" operator="equal">
      <formula>0</formula>
    </cfRule>
  </conditionalFormatting>
  <conditionalFormatting sqref="H499">
    <cfRule type="cellIs" dxfId="408" priority="2060" operator="equal">
      <formula>0</formula>
    </cfRule>
  </conditionalFormatting>
  <conditionalFormatting sqref="H499">
    <cfRule type="cellIs" dxfId="407" priority="2061" operator="equal">
      <formula>0</formula>
    </cfRule>
  </conditionalFormatting>
  <conditionalFormatting sqref="H499">
    <cfRule type="cellIs" dxfId="406" priority="2062" operator="equal">
      <formula>0</formula>
    </cfRule>
  </conditionalFormatting>
  <conditionalFormatting sqref="H499">
    <cfRule type="cellIs" dxfId="405" priority="2063" operator="equal">
      <formula>0</formula>
    </cfRule>
  </conditionalFormatting>
  <conditionalFormatting sqref="H499">
    <cfRule type="cellIs" dxfId="404" priority="2064" operator="equal">
      <formula>0</formula>
    </cfRule>
  </conditionalFormatting>
  <conditionalFormatting sqref="H499">
    <cfRule type="cellIs" dxfId="403" priority="2065" operator="equal">
      <formula>0</formula>
    </cfRule>
  </conditionalFormatting>
  <conditionalFormatting sqref="H499">
    <cfRule type="cellIs" dxfId="402" priority="2066" operator="equal">
      <formula>0</formula>
    </cfRule>
  </conditionalFormatting>
  <conditionalFormatting sqref="H499">
    <cfRule type="cellIs" dxfId="401" priority="2067" operator="equal">
      <formula>0</formula>
    </cfRule>
  </conditionalFormatting>
  <conditionalFormatting sqref="H499">
    <cfRule type="cellIs" dxfId="400" priority="2068" operator="equal">
      <formula>0</formula>
    </cfRule>
  </conditionalFormatting>
  <conditionalFormatting sqref="H499">
    <cfRule type="cellIs" dxfId="399" priority="2069" operator="equal">
      <formula>0</formula>
    </cfRule>
  </conditionalFormatting>
  <conditionalFormatting sqref="H499">
    <cfRule type="cellIs" dxfId="398" priority="2070" operator="equal">
      <formula>0</formula>
    </cfRule>
  </conditionalFormatting>
  <conditionalFormatting sqref="H499">
    <cfRule type="cellIs" dxfId="397" priority="2071" operator="equal">
      <formula>0</formula>
    </cfRule>
  </conditionalFormatting>
  <conditionalFormatting sqref="H499">
    <cfRule type="cellIs" dxfId="396" priority="2072" operator="equal">
      <formula>0</formula>
    </cfRule>
  </conditionalFormatting>
  <conditionalFormatting sqref="H499">
    <cfRule type="cellIs" dxfId="395" priority="2073" operator="equal">
      <formula>0</formula>
    </cfRule>
  </conditionalFormatting>
  <conditionalFormatting sqref="H499">
    <cfRule type="cellIs" dxfId="394" priority="2074" operator="equal">
      <formula>0</formula>
    </cfRule>
  </conditionalFormatting>
  <conditionalFormatting sqref="H499">
    <cfRule type="cellIs" dxfId="393" priority="2075" operator="equal">
      <formula>0</formula>
    </cfRule>
  </conditionalFormatting>
  <conditionalFormatting sqref="H499">
    <cfRule type="cellIs" dxfId="392" priority="2076" operator="equal">
      <formula>0</formula>
    </cfRule>
  </conditionalFormatting>
  <conditionalFormatting sqref="H499">
    <cfRule type="cellIs" dxfId="391" priority="2077" operator="equal">
      <formula>0</formula>
    </cfRule>
  </conditionalFormatting>
  <conditionalFormatting sqref="H499">
    <cfRule type="cellIs" dxfId="390" priority="2078" operator="equal">
      <formula>0</formula>
    </cfRule>
  </conditionalFormatting>
  <conditionalFormatting sqref="H499">
    <cfRule type="cellIs" dxfId="389" priority="2079" operator="equal">
      <formula>0</formula>
    </cfRule>
  </conditionalFormatting>
  <conditionalFormatting sqref="H499">
    <cfRule type="cellIs" dxfId="388" priority="2080" operator="equal">
      <formula>0</formula>
    </cfRule>
  </conditionalFormatting>
  <conditionalFormatting sqref="H499">
    <cfRule type="cellIs" dxfId="387" priority="2081" operator="equal">
      <formula>0</formula>
    </cfRule>
  </conditionalFormatting>
  <conditionalFormatting sqref="H499">
    <cfRule type="cellIs" dxfId="386" priority="2082" operator="equal">
      <formula>0</formula>
    </cfRule>
  </conditionalFormatting>
  <conditionalFormatting sqref="H499">
    <cfRule type="cellIs" dxfId="385" priority="2083" operator="equal">
      <formula>0</formula>
    </cfRule>
  </conditionalFormatting>
  <conditionalFormatting sqref="H499">
    <cfRule type="cellIs" dxfId="384" priority="2084" operator="equal">
      <formula>0</formula>
    </cfRule>
  </conditionalFormatting>
  <conditionalFormatting sqref="H499">
    <cfRule type="cellIs" dxfId="383" priority="2085" operator="equal">
      <formula>0</formula>
    </cfRule>
  </conditionalFormatting>
  <conditionalFormatting sqref="H499">
    <cfRule type="cellIs" dxfId="382" priority="2086" operator="equal">
      <formula>0</formula>
    </cfRule>
  </conditionalFormatting>
  <conditionalFormatting sqref="H499">
    <cfRule type="cellIs" dxfId="381" priority="2087" operator="equal">
      <formula>0</formula>
    </cfRule>
  </conditionalFormatting>
  <conditionalFormatting sqref="H499">
    <cfRule type="cellIs" dxfId="380" priority="2088" operator="equal">
      <formula>0</formula>
    </cfRule>
  </conditionalFormatting>
  <conditionalFormatting sqref="H499">
    <cfRule type="cellIs" dxfId="379" priority="2089" operator="equal">
      <formula>0</formula>
    </cfRule>
  </conditionalFormatting>
  <conditionalFormatting sqref="H499">
    <cfRule type="cellIs" dxfId="378" priority="2090" operator="equal">
      <formula>0</formula>
    </cfRule>
  </conditionalFormatting>
  <conditionalFormatting sqref="H499">
    <cfRule type="cellIs" dxfId="377" priority="2091" operator="equal">
      <formula>0</formula>
    </cfRule>
  </conditionalFormatting>
  <conditionalFormatting sqref="H499">
    <cfRule type="cellIs" dxfId="376" priority="2092" operator="equal">
      <formula>0</formula>
    </cfRule>
  </conditionalFormatting>
  <conditionalFormatting sqref="H499">
    <cfRule type="cellIs" dxfId="375" priority="2093" operator="equal">
      <formula>0</formula>
    </cfRule>
  </conditionalFormatting>
  <conditionalFormatting sqref="H499">
    <cfRule type="cellIs" dxfId="374" priority="2094" operator="equal">
      <formula>0</formula>
    </cfRule>
  </conditionalFormatting>
  <conditionalFormatting sqref="H499">
    <cfRule type="cellIs" dxfId="373" priority="2095" operator="equal">
      <formula>0</formula>
    </cfRule>
  </conditionalFormatting>
  <conditionalFormatting sqref="H499">
    <cfRule type="cellIs" dxfId="372" priority="2096" operator="equal">
      <formula>0</formula>
    </cfRule>
  </conditionalFormatting>
  <conditionalFormatting sqref="H499">
    <cfRule type="cellIs" dxfId="371" priority="2097" operator="equal">
      <formula>0</formula>
    </cfRule>
  </conditionalFormatting>
  <conditionalFormatting sqref="H499">
    <cfRule type="cellIs" dxfId="370" priority="2098" operator="equal">
      <formula>0</formula>
    </cfRule>
  </conditionalFormatting>
  <conditionalFormatting sqref="H499">
    <cfRule type="cellIs" dxfId="369" priority="2099" operator="equal">
      <formula>0</formula>
    </cfRule>
  </conditionalFormatting>
  <conditionalFormatting sqref="H499">
    <cfRule type="cellIs" dxfId="368" priority="2100" operator="equal">
      <formula>0</formula>
    </cfRule>
  </conditionalFormatting>
  <conditionalFormatting sqref="H499">
    <cfRule type="cellIs" dxfId="367" priority="2101" operator="equal">
      <formula>0</formula>
    </cfRule>
  </conditionalFormatting>
  <conditionalFormatting sqref="H499">
    <cfRule type="cellIs" dxfId="366" priority="2102" operator="equal">
      <formula>0</formula>
    </cfRule>
  </conditionalFormatting>
  <conditionalFormatting sqref="H499">
    <cfRule type="cellIs" dxfId="365" priority="2103" operator="equal">
      <formula>0</formula>
    </cfRule>
  </conditionalFormatting>
  <conditionalFormatting sqref="H499">
    <cfRule type="cellIs" dxfId="364" priority="2104" operator="equal">
      <formula>0</formula>
    </cfRule>
  </conditionalFormatting>
  <conditionalFormatting sqref="H543">
    <cfRule type="cellIs" dxfId="363" priority="2105" operator="equal">
      <formula>0</formula>
    </cfRule>
  </conditionalFormatting>
  <conditionalFormatting sqref="H543">
    <cfRule type="cellIs" dxfId="362" priority="2106" operator="equal">
      <formula>0</formula>
    </cfRule>
  </conditionalFormatting>
  <conditionalFormatting sqref="H543">
    <cfRule type="cellIs" dxfId="361" priority="2107" operator="equal">
      <formula>0</formula>
    </cfRule>
  </conditionalFormatting>
  <conditionalFormatting sqref="H543">
    <cfRule type="cellIs" dxfId="360" priority="2108" operator="equal">
      <formula>0</formula>
    </cfRule>
  </conditionalFormatting>
  <conditionalFormatting sqref="H543">
    <cfRule type="cellIs" dxfId="359" priority="2109" operator="equal">
      <formula>0</formula>
    </cfRule>
  </conditionalFormatting>
  <conditionalFormatting sqref="H543">
    <cfRule type="cellIs" dxfId="358" priority="2110" operator="equal">
      <formula>0</formula>
    </cfRule>
  </conditionalFormatting>
  <conditionalFormatting sqref="H543">
    <cfRule type="cellIs" dxfId="357" priority="2111" operator="equal">
      <formula>0</formula>
    </cfRule>
  </conditionalFormatting>
  <conditionalFormatting sqref="H543">
    <cfRule type="cellIs" dxfId="356" priority="2112" operator="equal">
      <formula>0</formula>
    </cfRule>
  </conditionalFormatting>
  <conditionalFormatting sqref="H543">
    <cfRule type="cellIs" dxfId="355" priority="2113" operator="equal">
      <formula>0</formula>
    </cfRule>
  </conditionalFormatting>
  <conditionalFormatting sqref="H543">
    <cfRule type="cellIs" dxfId="354" priority="2114" operator="equal">
      <formula>0</formula>
    </cfRule>
  </conditionalFormatting>
  <conditionalFormatting sqref="H543">
    <cfRule type="cellIs" dxfId="353" priority="2115" operator="equal">
      <formula>0</formula>
    </cfRule>
  </conditionalFormatting>
  <conditionalFormatting sqref="H543">
    <cfRule type="cellIs" dxfId="352" priority="2116" operator="equal">
      <formula>0</formula>
    </cfRule>
  </conditionalFormatting>
  <conditionalFormatting sqref="H543">
    <cfRule type="cellIs" dxfId="351" priority="2117" operator="equal">
      <formula>0</formula>
    </cfRule>
  </conditionalFormatting>
  <conditionalFormatting sqref="H543">
    <cfRule type="cellIs" dxfId="350" priority="2118" operator="equal">
      <formula>0</formula>
    </cfRule>
  </conditionalFormatting>
  <conditionalFormatting sqref="H543">
    <cfRule type="cellIs" dxfId="349" priority="2119" operator="equal">
      <formula>0</formula>
    </cfRule>
  </conditionalFormatting>
  <conditionalFormatting sqref="H543">
    <cfRule type="cellIs" dxfId="348" priority="2120" operator="equal">
      <formula>0</formula>
    </cfRule>
  </conditionalFormatting>
  <conditionalFormatting sqref="H543">
    <cfRule type="cellIs" dxfId="347" priority="2121" operator="equal">
      <formula>0</formula>
    </cfRule>
  </conditionalFormatting>
  <conditionalFormatting sqref="H543">
    <cfRule type="cellIs" dxfId="346" priority="2122" operator="equal">
      <formula>0</formula>
    </cfRule>
  </conditionalFormatting>
  <conditionalFormatting sqref="H543">
    <cfRule type="cellIs" dxfId="345" priority="2123" operator="equal">
      <formula>0</formula>
    </cfRule>
  </conditionalFormatting>
  <conditionalFormatting sqref="H543">
    <cfRule type="cellIs" dxfId="344" priority="2124" operator="equal">
      <formula>0</formula>
    </cfRule>
  </conditionalFormatting>
  <conditionalFormatting sqref="H543">
    <cfRule type="cellIs" dxfId="343" priority="2125" operator="equal">
      <formula>0</formula>
    </cfRule>
  </conditionalFormatting>
  <conditionalFormatting sqref="H543">
    <cfRule type="cellIs" dxfId="342" priority="2126" operator="equal">
      <formula>0</formula>
    </cfRule>
  </conditionalFormatting>
  <conditionalFormatting sqref="H543">
    <cfRule type="cellIs" dxfId="341" priority="2127" operator="equal">
      <formula>0</formula>
    </cfRule>
  </conditionalFormatting>
  <conditionalFormatting sqref="H543">
    <cfRule type="cellIs" dxfId="340" priority="2128" operator="equal">
      <formula>0</formula>
    </cfRule>
  </conditionalFormatting>
  <conditionalFormatting sqref="H543">
    <cfRule type="cellIs" dxfId="339" priority="2129" operator="equal">
      <formula>0</formula>
    </cfRule>
  </conditionalFormatting>
  <conditionalFormatting sqref="H543">
    <cfRule type="cellIs" dxfId="338" priority="2130" operator="equal">
      <formula>0</formula>
    </cfRule>
  </conditionalFormatting>
  <conditionalFormatting sqref="H543">
    <cfRule type="cellIs" dxfId="337" priority="2131" operator="equal">
      <formula>0</formula>
    </cfRule>
  </conditionalFormatting>
  <conditionalFormatting sqref="H543">
    <cfRule type="cellIs" dxfId="336" priority="2132" operator="equal">
      <formula>0</formula>
    </cfRule>
  </conditionalFormatting>
  <conditionalFormatting sqref="H543">
    <cfRule type="cellIs" dxfId="335" priority="2133" operator="equal">
      <formula>0</formula>
    </cfRule>
  </conditionalFormatting>
  <conditionalFormatting sqref="H543">
    <cfRule type="cellIs" dxfId="334" priority="2134" operator="equal">
      <formula>0</formula>
    </cfRule>
  </conditionalFormatting>
  <conditionalFormatting sqref="H543">
    <cfRule type="cellIs" dxfId="333" priority="2135" operator="equal">
      <formula>0</formula>
    </cfRule>
  </conditionalFormatting>
  <conditionalFormatting sqref="H543">
    <cfRule type="cellIs" dxfId="332" priority="2136" operator="equal">
      <formula>0</formula>
    </cfRule>
  </conditionalFormatting>
  <conditionalFormatting sqref="H543">
    <cfRule type="cellIs" dxfId="331" priority="2137" operator="equal">
      <formula>0</formula>
    </cfRule>
  </conditionalFormatting>
  <conditionalFormatting sqref="H543">
    <cfRule type="cellIs" dxfId="330" priority="2138" operator="equal">
      <formula>0</formula>
    </cfRule>
  </conditionalFormatting>
  <conditionalFormatting sqref="H543">
    <cfRule type="cellIs" dxfId="329" priority="2139" operator="equal">
      <formula>0</formula>
    </cfRule>
  </conditionalFormatting>
  <conditionalFormatting sqref="H543">
    <cfRule type="cellIs" dxfId="328" priority="2140" operator="equal">
      <formula>0</formula>
    </cfRule>
  </conditionalFormatting>
  <conditionalFormatting sqref="H543">
    <cfRule type="cellIs" dxfId="327" priority="2141" operator="equal">
      <formula>0</formula>
    </cfRule>
  </conditionalFormatting>
  <conditionalFormatting sqref="H543">
    <cfRule type="cellIs" dxfId="326" priority="2142" operator="equal">
      <formula>0</formula>
    </cfRule>
  </conditionalFormatting>
  <conditionalFormatting sqref="H543">
    <cfRule type="cellIs" dxfId="325" priority="2143" operator="equal">
      <formula>0</formula>
    </cfRule>
  </conditionalFormatting>
  <conditionalFormatting sqref="H543">
    <cfRule type="cellIs" dxfId="324" priority="2144" operator="equal">
      <formula>0</formula>
    </cfRule>
  </conditionalFormatting>
  <conditionalFormatting sqref="H543">
    <cfRule type="cellIs" dxfId="323" priority="2145" operator="equal">
      <formula>0</formula>
    </cfRule>
  </conditionalFormatting>
  <conditionalFormatting sqref="H543">
    <cfRule type="cellIs" dxfId="322" priority="2146" operator="equal">
      <formula>0</formula>
    </cfRule>
  </conditionalFormatting>
  <conditionalFormatting sqref="H543">
    <cfRule type="cellIs" dxfId="321" priority="2147" operator="equal">
      <formula>0</formula>
    </cfRule>
  </conditionalFormatting>
  <conditionalFormatting sqref="H543">
    <cfRule type="cellIs" dxfId="320" priority="2148" operator="equal">
      <formula>0</formula>
    </cfRule>
  </conditionalFormatting>
  <conditionalFormatting sqref="H543">
    <cfRule type="cellIs" dxfId="319" priority="2149" operator="equal">
      <formula>0</formula>
    </cfRule>
  </conditionalFormatting>
  <conditionalFormatting sqref="H543">
    <cfRule type="cellIs" dxfId="318" priority="2150" operator="equal">
      <formula>0</formula>
    </cfRule>
  </conditionalFormatting>
  <conditionalFormatting sqref="H543">
    <cfRule type="cellIs" dxfId="317" priority="2151" operator="equal">
      <formula>0</formula>
    </cfRule>
  </conditionalFormatting>
  <conditionalFormatting sqref="H543">
    <cfRule type="cellIs" dxfId="316" priority="2152" operator="equal">
      <formula>0</formula>
    </cfRule>
  </conditionalFormatting>
  <conditionalFormatting sqref="H543">
    <cfRule type="cellIs" dxfId="315" priority="2153" operator="equal">
      <formula>0</formula>
    </cfRule>
  </conditionalFormatting>
  <conditionalFormatting sqref="H543">
    <cfRule type="cellIs" dxfId="314" priority="2154" operator="equal">
      <formula>0</formula>
    </cfRule>
  </conditionalFormatting>
  <conditionalFormatting sqref="H543">
    <cfRule type="cellIs" dxfId="313" priority="2155" operator="equal">
      <formula>0</formula>
    </cfRule>
  </conditionalFormatting>
  <conditionalFormatting sqref="H543">
    <cfRule type="cellIs" dxfId="312" priority="2156" operator="equal">
      <formula>0</formula>
    </cfRule>
  </conditionalFormatting>
  <conditionalFormatting sqref="H543">
    <cfRule type="cellIs" dxfId="311" priority="2157" operator="equal">
      <formula>0</formula>
    </cfRule>
  </conditionalFormatting>
  <conditionalFormatting sqref="H543">
    <cfRule type="cellIs" dxfId="310" priority="2158" operator="equal">
      <formula>0</formula>
    </cfRule>
  </conditionalFormatting>
  <conditionalFormatting sqref="H543">
    <cfRule type="cellIs" dxfId="309" priority="2159" operator="equal">
      <formula>0</formula>
    </cfRule>
  </conditionalFormatting>
  <conditionalFormatting sqref="H543">
    <cfRule type="cellIs" dxfId="308" priority="2160" operator="equal">
      <formula>0</formula>
    </cfRule>
  </conditionalFormatting>
  <conditionalFormatting sqref="H543">
    <cfRule type="cellIs" dxfId="307" priority="2161" operator="equal">
      <formula>0</formula>
    </cfRule>
  </conditionalFormatting>
  <conditionalFormatting sqref="H543">
    <cfRule type="cellIs" dxfId="306" priority="2162" operator="equal">
      <formula>0</formula>
    </cfRule>
  </conditionalFormatting>
  <conditionalFormatting sqref="H543">
    <cfRule type="cellIs" dxfId="305" priority="2163" operator="equal">
      <formula>0</formula>
    </cfRule>
  </conditionalFormatting>
  <conditionalFormatting sqref="H543">
    <cfRule type="cellIs" dxfId="304" priority="2164" operator="equal">
      <formula>0</formula>
    </cfRule>
  </conditionalFormatting>
  <conditionalFormatting sqref="H543">
    <cfRule type="cellIs" dxfId="303" priority="2165" operator="equal">
      <formula>0</formula>
    </cfRule>
  </conditionalFormatting>
  <conditionalFormatting sqref="H543">
    <cfRule type="cellIs" dxfId="302" priority="2166" operator="equal">
      <formula>0</formula>
    </cfRule>
  </conditionalFormatting>
  <conditionalFormatting sqref="H543">
    <cfRule type="cellIs" dxfId="301" priority="2167" operator="equal">
      <formula>0</formula>
    </cfRule>
  </conditionalFormatting>
  <conditionalFormatting sqref="H543">
    <cfRule type="cellIs" dxfId="300" priority="2168" operator="equal">
      <formula>0</formula>
    </cfRule>
  </conditionalFormatting>
  <conditionalFormatting sqref="H543">
    <cfRule type="cellIs" dxfId="299" priority="2169" operator="equal">
      <formula>0</formula>
    </cfRule>
  </conditionalFormatting>
  <conditionalFormatting sqref="H543">
    <cfRule type="cellIs" dxfId="298" priority="2170" operator="equal">
      <formula>0</formula>
    </cfRule>
  </conditionalFormatting>
  <conditionalFormatting sqref="H543">
    <cfRule type="cellIs" dxfId="297" priority="2171" operator="equal">
      <formula>0</formula>
    </cfRule>
  </conditionalFormatting>
  <conditionalFormatting sqref="H543">
    <cfRule type="cellIs" dxfId="296" priority="2172" operator="equal">
      <formula>0</formula>
    </cfRule>
  </conditionalFormatting>
  <conditionalFormatting sqref="H543">
    <cfRule type="cellIs" dxfId="295" priority="2173" operator="equal">
      <formula>0</formula>
    </cfRule>
  </conditionalFormatting>
  <conditionalFormatting sqref="H543">
    <cfRule type="cellIs" dxfId="294" priority="2174" operator="equal">
      <formula>0</formula>
    </cfRule>
  </conditionalFormatting>
  <conditionalFormatting sqref="H543">
    <cfRule type="cellIs" dxfId="293" priority="2175" operator="equal">
      <formula>0</formula>
    </cfRule>
  </conditionalFormatting>
  <conditionalFormatting sqref="H543">
    <cfRule type="cellIs" dxfId="292" priority="2176" operator="equal">
      <formula>0</formula>
    </cfRule>
  </conditionalFormatting>
  <conditionalFormatting sqref="H543">
    <cfRule type="cellIs" dxfId="291" priority="2177" operator="equal">
      <formula>0</formula>
    </cfRule>
  </conditionalFormatting>
  <conditionalFormatting sqref="H543">
    <cfRule type="cellIs" dxfId="290" priority="2178" operator="equal">
      <formula>0</formula>
    </cfRule>
  </conditionalFormatting>
  <conditionalFormatting sqref="H543">
    <cfRule type="cellIs" dxfId="289" priority="2179" operator="equal">
      <formula>0</formula>
    </cfRule>
  </conditionalFormatting>
  <conditionalFormatting sqref="H543">
    <cfRule type="cellIs" dxfId="288" priority="2180" operator="equal">
      <formula>0</formula>
    </cfRule>
  </conditionalFormatting>
  <conditionalFormatting sqref="H543">
    <cfRule type="cellIs" dxfId="287" priority="2181" operator="equal">
      <formula>0</formula>
    </cfRule>
  </conditionalFormatting>
  <conditionalFormatting sqref="H543">
    <cfRule type="cellIs" dxfId="286" priority="2182" operator="equal">
      <formula>0</formula>
    </cfRule>
  </conditionalFormatting>
  <conditionalFormatting sqref="H543">
    <cfRule type="cellIs" dxfId="285" priority="2183" operator="equal">
      <formula>0</formula>
    </cfRule>
  </conditionalFormatting>
  <conditionalFormatting sqref="H543">
    <cfRule type="cellIs" dxfId="284" priority="2184" operator="equal">
      <formula>0</formula>
    </cfRule>
  </conditionalFormatting>
  <conditionalFormatting sqref="H543">
    <cfRule type="cellIs" dxfId="283" priority="2185" operator="equal">
      <formula>0</formula>
    </cfRule>
  </conditionalFormatting>
  <conditionalFormatting sqref="H543">
    <cfRule type="cellIs" dxfId="282" priority="2186" operator="equal">
      <formula>0</formula>
    </cfRule>
  </conditionalFormatting>
  <conditionalFormatting sqref="H543">
    <cfRule type="cellIs" dxfId="281" priority="2187" operator="equal">
      <formula>0</formula>
    </cfRule>
  </conditionalFormatting>
  <conditionalFormatting sqref="H543">
    <cfRule type="cellIs" dxfId="280" priority="2188" operator="equal">
      <formula>0</formula>
    </cfRule>
  </conditionalFormatting>
  <conditionalFormatting sqref="H543">
    <cfRule type="cellIs" dxfId="279" priority="2189" operator="equal">
      <formula>0</formula>
    </cfRule>
  </conditionalFormatting>
  <conditionalFormatting sqref="H543">
    <cfRule type="cellIs" dxfId="278" priority="2190" operator="equal">
      <formula>0</formula>
    </cfRule>
  </conditionalFormatting>
  <conditionalFormatting sqref="H543">
    <cfRule type="cellIs" dxfId="277" priority="2191" operator="equal">
      <formula>0</formula>
    </cfRule>
  </conditionalFormatting>
  <conditionalFormatting sqref="H543">
    <cfRule type="cellIs" dxfId="276" priority="2192" operator="equal">
      <formula>0</formula>
    </cfRule>
  </conditionalFormatting>
  <conditionalFormatting sqref="H543">
    <cfRule type="cellIs" dxfId="275" priority="2193" operator="equal">
      <formula>0</formula>
    </cfRule>
  </conditionalFormatting>
  <conditionalFormatting sqref="H543">
    <cfRule type="cellIs" dxfId="274" priority="2194" operator="equal">
      <formula>0</formula>
    </cfRule>
  </conditionalFormatting>
  <conditionalFormatting sqref="H543">
    <cfRule type="cellIs" dxfId="273" priority="2195" operator="equal">
      <formula>0</formula>
    </cfRule>
  </conditionalFormatting>
  <conditionalFormatting sqref="H587">
    <cfRule type="cellIs" dxfId="272" priority="2196" operator="equal">
      <formula>0</formula>
    </cfRule>
  </conditionalFormatting>
  <conditionalFormatting sqref="H587">
    <cfRule type="cellIs" dxfId="271" priority="2197" operator="equal">
      <formula>0</formula>
    </cfRule>
  </conditionalFormatting>
  <conditionalFormatting sqref="H587">
    <cfRule type="cellIs" dxfId="270" priority="2198" operator="equal">
      <formula>0</formula>
    </cfRule>
  </conditionalFormatting>
  <conditionalFormatting sqref="H587">
    <cfRule type="cellIs" dxfId="269" priority="2199" operator="equal">
      <formula>0</formula>
    </cfRule>
  </conditionalFormatting>
  <conditionalFormatting sqref="H587">
    <cfRule type="cellIs" dxfId="268" priority="2200" operator="equal">
      <formula>0</formula>
    </cfRule>
  </conditionalFormatting>
  <conditionalFormatting sqref="H587">
    <cfRule type="cellIs" dxfId="267" priority="2201" operator="equal">
      <formula>0</formula>
    </cfRule>
  </conditionalFormatting>
  <conditionalFormatting sqref="H587">
    <cfRule type="cellIs" dxfId="266" priority="2202" operator="equal">
      <formula>0</formula>
    </cfRule>
  </conditionalFormatting>
  <conditionalFormatting sqref="H587">
    <cfRule type="cellIs" dxfId="265" priority="2203" operator="equal">
      <formula>0</formula>
    </cfRule>
  </conditionalFormatting>
  <conditionalFormatting sqref="H587">
    <cfRule type="cellIs" dxfId="264" priority="2204" operator="equal">
      <formula>0</formula>
    </cfRule>
  </conditionalFormatting>
  <conditionalFormatting sqref="H587">
    <cfRule type="cellIs" dxfId="263" priority="2205" operator="equal">
      <formula>0</formula>
    </cfRule>
  </conditionalFormatting>
  <conditionalFormatting sqref="H587">
    <cfRule type="cellIs" dxfId="262" priority="2206" operator="equal">
      <formula>0</formula>
    </cfRule>
  </conditionalFormatting>
  <conditionalFormatting sqref="H587">
    <cfRule type="cellIs" dxfId="261" priority="2207" operator="equal">
      <formula>0</formula>
    </cfRule>
  </conditionalFormatting>
  <conditionalFormatting sqref="H587">
    <cfRule type="cellIs" dxfId="260" priority="2208" operator="equal">
      <formula>0</formula>
    </cfRule>
  </conditionalFormatting>
  <conditionalFormatting sqref="H587">
    <cfRule type="cellIs" dxfId="259" priority="2209" operator="equal">
      <formula>0</formula>
    </cfRule>
  </conditionalFormatting>
  <conditionalFormatting sqref="H587">
    <cfRule type="cellIs" dxfId="258" priority="2210" operator="equal">
      <formula>0</formula>
    </cfRule>
  </conditionalFormatting>
  <conditionalFormatting sqref="H587">
    <cfRule type="cellIs" dxfId="257" priority="2211" operator="equal">
      <formula>0</formula>
    </cfRule>
  </conditionalFormatting>
  <conditionalFormatting sqref="H587">
    <cfRule type="cellIs" dxfId="256" priority="2212" operator="equal">
      <formula>0</formula>
    </cfRule>
  </conditionalFormatting>
  <conditionalFormatting sqref="H587">
    <cfRule type="cellIs" dxfId="255" priority="2213" operator="equal">
      <formula>0</formula>
    </cfRule>
  </conditionalFormatting>
  <conditionalFormatting sqref="H587">
    <cfRule type="cellIs" dxfId="254" priority="2214" operator="equal">
      <formula>0</formula>
    </cfRule>
  </conditionalFormatting>
  <conditionalFormatting sqref="H587">
    <cfRule type="cellIs" dxfId="253" priority="2215" operator="equal">
      <formula>0</formula>
    </cfRule>
  </conditionalFormatting>
  <conditionalFormatting sqref="H587">
    <cfRule type="cellIs" dxfId="252" priority="2216" operator="equal">
      <formula>0</formula>
    </cfRule>
  </conditionalFormatting>
  <conditionalFormatting sqref="H587">
    <cfRule type="cellIs" dxfId="251" priority="2217" operator="equal">
      <formula>0</formula>
    </cfRule>
  </conditionalFormatting>
  <conditionalFormatting sqref="H587">
    <cfRule type="cellIs" dxfId="250" priority="2218" operator="equal">
      <formula>0</formula>
    </cfRule>
  </conditionalFormatting>
  <conditionalFormatting sqref="H587">
    <cfRule type="cellIs" dxfId="249" priority="2219" operator="equal">
      <formula>0</formula>
    </cfRule>
  </conditionalFormatting>
  <conditionalFormatting sqref="H587">
    <cfRule type="cellIs" dxfId="248" priority="2220" operator="equal">
      <formula>0</formula>
    </cfRule>
  </conditionalFormatting>
  <conditionalFormatting sqref="H587">
    <cfRule type="cellIs" dxfId="247" priority="2221" operator="equal">
      <formula>0</formula>
    </cfRule>
  </conditionalFormatting>
  <conditionalFormatting sqref="H587">
    <cfRule type="cellIs" dxfId="246" priority="2222" operator="equal">
      <formula>0</formula>
    </cfRule>
  </conditionalFormatting>
  <conditionalFormatting sqref="H587">
    <cfRule type="cellIs" dxfId="245" priority="2223" operator="equal">
      <formula>0</formula>
    </cfRule>
  </conditionalFormatting>
  <conditionalFormatting sqref="H587">
    <cfRule type="cellIs" dxfId="244" priority="2224" operator="equal">
      <formula>0</formula>
    </cfRule>
  </conditionalFormatting>
  <conditionalFormatting sqref="H587">
    <cfRule type="cellIs" dxfId="243" priority="2225" operator="equal">
      <formula>0</formula>
    </cfRule>
  </conditionalFormatting>
  <conditionalFormatting sqref="H587">
    <cfRule type="cellIs" dxfId="242" priority="2226" operator="equal">
      <formula>0</formula>
    </cfRule>
  </conditionalFormatting>
  <conditionalFormatting sqref="H587">
    <cfRule type="cellIs" dxfId="241" priority="2227" operator="equal">
      <formula>0</formula>
    </cfRule>
  </conditionalFormatting>
  <conditionalFormatting sqref="H587">
    <cfRule type="cellIs" dxfId="240" priority="2228" operator="equal">
      <formula>0</formula>
    </cfRule>
  </conditionalFormatting>
  <conditionalFormatting sqref="H587">
    <cfRule type="cellIs" dxfId="239" priority="2229" operator="equal">
      <formula>0</formula>
    </cfRule>
  </conditionalFormatting>
  <conditionalFormatting sqref="H587">
    <cfRule type="cellIs" dxfId="238" priority="2230" operator="equal">
      <formula>0</formula>
    </cfRule>
  </conditionalFormatting>
  <conditionalFormatting sqref="H587">
    <cfRule type="cellIs" dxfId="237" priority="2231" operator="equal">
      <formula>0</formula>
    </cfRule>
  </conditionalFormatting>
  <conditionalFormatting sqref="H587">
    <cfRule type="cellIs" dxfId="236" priority="2232" operator="equal">
      <formula>0</formula>
    </cfRule>
  </conditionalFormatting>
  <conditionalFormatting sqref="H587">
    <cfRule type="cellIs" dxfId="235" priority="2233" operator="equal">
      <formula>0</formula>
    </cfRule>
  </conditionalFormatting>
  <conditionalFormatting sqref="H587">
    <cfRule type="cellIs" dxfId="234" priority="2234" operator="equal">
      <formula>0</formula>
    </cfRule>
  </conditionalFormatting>
  <conditionalFormatting sqref="H587">
    <cfRule type="cellIs" dxfId="233" priority="2235" operator="equal">
      <formula>0</formula>
    </cfRule>
  </conditionalFormatting>
  <conditionalFormatting sqref="H587">
    <cfRule type="cellIs" dxfId="232" priority="2236" operator="equal">
      <formula>0</formula>
    </cfRule>
  </conditionalFormatting>
  <conditionalFormatting sqref="H587">
    <cfRule type="cellIs" dxfId="231" priority="2237" operator="equal">
      <formula>0</formula>
    </cfRule>
  </conditionalFormatting>
  <conditionalFormatting sqref="H587">
    <cfRule type="cellIs" dxfId="230" priority="2238" operator="equal">
      <formula>0</formula>
    </cfRule>
  </conditionalFormatting>
  <conditionalFormatting sqref="H587">
    <cfRule type="cellIs" dxfId="229" priority="2239" operator="equal">
      <formula>0</formula>
    </cfRule>
  </conditionalFormatting>
  <conditionalFormatting sqref="H587">
    <cfRule type="cellIs" dxfId="228" priority="2240" operator="equal">
      <formula>0</formula>
    </cfRule>
  </conditionalFormatting>
  <conditionalFormatting sqref="H587">
    <cfRule type="cellIs" dxfId="227" priority="2241" operator="equal">
      <formula>0</formula>
    </cfRule>
  </conditionalFormatting>
  <conditionalFormatting sqref="H587">
    <cfRule type="cellIs" dxfId="226" priority="2242" operator="equal">
      <formula>0</formula>
    </cfRule>
  </conditionalFormatting>
  <conditionalFormatting sqref="H587">
    <cfRule type="cellIs" dxfId="225" priority="2243" operator="equal">
      <formula>0</formula>
    </cfRule>
  </conditionalFormatting>
  <conditionalFormatting sqref="H587">
    <cfRule type="cellIs" dxfId="224" priority="2244" operator="equal">
      <formula>0</formula>
    </cfRule>
  </conditionalFormatting>
  <conditionalFormatting sqref="H587">
    <cfRule type="cellIs" dxfId="223" priority="2245" operator="equal">
      <formula>0</formula>
    </cfRule>
  </conditionalFormatting>
  <conditionalFormatting sqref="H587">
    <cfRule type="cellIs" dxfId="222" priority="2246" operator="equal">
      <formula>0</formula>
    </cfRule>
  </conditionalFormatting>
  <conditionalFormatting sqref="H587">
    <cfRule type="cellIs" dxfId="221" priority="2247" operator="equal">
      <formula>0</formula>
    </cfRule>
  </conditionalFormatting>
  <conditionalFormatting sqref="H587">
    <cfRule type="cellIs" dxfId="220" priority="2248" operator="equal">
      <formula>0</formula>
    </cfRule>
  </conditionalFormatting>
  <conditionalFormatting sqref="H587">
    <cfRule type="cellIs" dxfId="219" priority="2249" operator="equal">
      <formula>0</formula>
    </cfRule>
  </conditionalFormatting>
  <conditionalFormatting sqref="H587">
    <cfRule type="cellIs" dxfId="218" priority="2250" operator="equal">
      <formula>0</formula>
    </cfRule>
  </conditionalFormatting>
  <conditionalFormatting sqref="H587">
    <cfRule type="cellIs" dxfId="217" priority="2251" operator="equal">
      <formula>0</formula>
    </cfRule>
  </conditionalFormatting>
  <conditionalFormatting sqref="H587">
    <cfRule type="cellIs" dxfId="216" priority="2252" operator="equal">
      <formula>0</formula>
    </cfRule>
  </conditionalFormatting>
  <conditionalFormatting sqref="H587">
    <cfRule type="cellIs" dxfId="215" priority="2253" operator="equal">
      <formula>0</formula>
    </cfRule>
  </conditionalFormatting>
  <conditionalFormatting sqref="H587">
    <cfRule type="cellIs" dxfId="214" priority="2254" operator="equal">
      <formula>0</formula>
    </cfRule>
  </conditionalFormatting>
  <conditionalFormatting sqref="H587">
    <cfRule type="cellIs" dxfId="213" priority="2255" operator="equal">
      <formula>0</formula>
    </cfRule>
  </conditionalFormatting>
  <conditionalFormatting sqref="H587">
    <cfRule type="cellIs" dxfId="212" priority="2256" operator="equal">
      <formula>0</formula>
    </cfRule>
  </conditionalFormatting>
  <conditionalFormatting sqref="H587">
    <cfRule type="cellIs" dxfId="211" priority="2257" operator="equal">
      <formula>0</formula>
    </cfRule>
  </conditionalFormatting>
  <conditionalFormatting sqref="H587">
    <cfRule type="cellIs" dxfId="210" priority="2258" operator="equal">
      <formula>0</formula>
    </cfRule>
  </conditionalFormatting>
  <conditionalFormatting sqref="H587">
    <cfRule type="cellIs" dxfId="209" priority="2259" operator="equal">
      <formula>0</formula>
    </cfRule>
  </conditionalFormatting>
  <conditionalFormatting sqref="H587">
    <cfRule type="cellIs" dxfId="208" priority="2260" operator="equal">
      <formula>0</formula>
    </cfRule>
  </conditionalFormatting>
  <conditionalFormatting sqref="H587">
    <cfRule type="cellIs" dxfId="207" priority="2261" operator="equal">
      <formula>0</formula>
    </cfRule>
  </conditionalFormatting>
  <conditionalFormatting sqref="H587">
    <cfRule type="cellIs" dxfId="206" priority="2262" operator="equal">
      <formula>0</formula>
    </cfRule>
  </conditionalFormatting>
  <conditionalFormatting sqref="H587">
    <cfRule type="cellIs" dxfId="205" priority="2263" operator="equal">
      <formula>0</formula>
    </cfRule>
  </conditionalFormatting>
  <conditionalFormatting sqref="H587">
    <cfRule type="cellIs" dxfId="204" priority="2264" operator="equal">
      <formula>0</formula>
    </cfRule>
  </conditionalFormatting>
  <conditionalFormatting sqref="H587">
    <cfRule type="cellIs" dxfId="203" priority="2265" operator="equal">
      <formula>0</formula>
    </cfRule>
  </conditionalFormatting>
  <conditionalFormatting sqref="H587">
    <cfRule type="cellIs" dxfId="202" priority="2266" operator="equal">
      <formula>0</formula>
    </cfRule>
  </conditionalFormatting>
  <conditionalFormatting sqref="H587">
    <cfRule type="cellIs" dxfId="201" priority="2267" operator="equal">
      <formula>0</formula>
    </cfRule>
  </conditionalFormatting>
  <conditionalFormatting sqref="H587">
    <cfRule type="cellIs" dxfId="200" priority="2268" operator="equal">
      <formula>0</formula>
    </cfRule>
  </conditionalFormatting>
  <conditionalFormatting sqref="H587">
    <cfRule type="cellIs" dxfId="199" priority="2269" operator="equal">
      <formula>0</formula>
    </cfRule>
  </conditionalFormatting>
  <conditionalFormatting sqref="H587">
    <cfRule type="cellIs" dxfId="198" priority="2270" operator="equal">
      <formula>0</formula>
    </cfRule>
  </conditionalFormatting>
  <conditionalFormatting sqref="H587">
    <cfRule type="cellIs" dxfId="197" priority="2271" operator="equal">
      <formula>0</formula>
    </cfRule>
  </conditionalFormatting>
  <conditionalFormatting sqref="H587">
    <cfRule type="cellIs" dxfId="196" priority="2272" operator="equal">
      <formula>0</formula>
    </cfRule>
  </conditionalFormatting>
  <conditionalFormatting sqref="H587">
    <cfRule type="cellIs" dxfId="195" priority="2273" operator="equal">
      <formula>0</formula>
    </cfRule>
  </conditionalFormatting>
  <conditionalFormatting sqref="H587">
    <cfRule type="cellIs" dxfId="194" priority="2274" operator="equal">
      <formula>0</formula>
    </cfRule>
  </conditionalFormatting>
  <conditionalFormatting sqref="H587">
    <cfRule type="cellIs" dxfId="193" priority="2275" operator="equal">
      <formula>0</formula>
    </cfRule>
  </conditionalFormatting>
  <conditionalFormatting sqref="H587">
    <cfRule type="cellIs" dxfId="192" priority="2276" operator="equal">
      <formula>0</formula>
    </cfRule>
  </conditionalFormatting>
  <conditionalFormatting sqref="H587">
    <cfRule type="cellIs" dxfId="191" priority="2277" operator="equal">
      <formula>0</formula>
    </cfRule>
  </conditionalFormatting>
  <conditionalFormatting sqref="H587">
    <cfRule type="cellIs" dxfId="190" priority="2278" operator="equal">
      <formula>0</formula>
    </cfRule>
  </conditionalFormatting>
  <conditionalFormatting sqref="H587">
    <cfRule type="cellIs" dxfId="189" priority="2279" operator="equal">
      <formula>0</formula>
    </cfRule>
  </conditionalFormatting>
  <conditionalFormatting sqref="H587">
    <cfRule type="cellIs" dxfId="188" priority="2280" operator="equal">
      <formula>0</formula>
    </cfRule>
  </conditionalFormatting>
  <conditionalFormatting sqref="H587">
    <cfRule type="cellIs" dxfId="187" priority="2281" operator="equal">
      <formula>0</formula>
    </cfRule>
  </conditionalFormatting>
  <conditionalFormatting sqref="H587">
    <cfRule type="cellIs" dxfId="186" priority="2282" operator="equal">
      <formula>0</formula>
    </cfRule>
  </conditionalFormatting>
  <conditionalFormatting sqref="H587">
    <cfRule type="cellIs" dxfId="185" priority="2283" operator="equal">
      <formula>0</formula>
    </cfRule>
  </conditionalFormatting>
  <conditionalFormatting sqref="H587">
    <cfRule type="cellIs" dxfId="184" priority="2284" operator="equal">
      <formula>0</formula>
    </cfRule>
  </conditionalFormatting>
  <conditionalFormatting sqref="H587">
    <cfRule type="cellIs" dxfId="183" priority="2285" operator="equal">
      <formula>0</formula>
    </cfRule>
  </conditionalFormatting>
  <conditionalFormatting sqref="H587">
    <cfRule type="cellIs" dxfId="182" priority="2286" operator="equal">
      <formula>0</formula>
    </cfRule>
  </conditionalFormatting>
  <conditionalFormatting sqref="H631">
    <cfRule type="cellIs" dxfId="181" priority="2287" operator="equal">
      <formula>0</formula>
    </cfRule>
  </conditionalFormatting>
  <conditionalFormatting sqref="H631">
    <cfRule type="cellIs" dxfId="180" priority="2288" operator="equal">
      <formula>0</formula>
    </cfRule>
  </conditionalFormatting>
  <conditionalFormatting sqref="H631">
    <cfRule type="cellIs" dxfId="179" priority="2289" operator="equal">
      <formula>0</formula>
    </cfRule>
  </conditionalFormatting>
  <conditionalFormatting sqref="H631">
    <cfRule type="cellIs" dxfId="178" priority="2290" operator="equal">
      <formula>0</formula>
    </cfRule>
  </conditionalFormatting>
  <conditionalFormatting sqref="H631">
    <cfRule type="cellIs" dxfId="177" priority="2291" operator="equal">
      <formula>0</formula>
    </cfRule>
  </conditionalFormatting>
  <conditionalFormatting sqref="H631">
    <cfRule type="cellIs" dxfId="176" priority="2292" operator="equal">
      <formula>0</formula>
    </cfRule>
  </conditionalFormatting>
  <conditionalFormatting sqref="H631">
    <cfRule type="cellIs" dxfId="175" priority="2293" operator="equal">
      <formula>0</formula>
    </cfRule>
  </conditionalFormatting>
  <conditionalFormatting sqref="H631">
    <cfRule type="cellIs" dxfId="174" priority="2294" operator="equal">
      <formula>0</formula>
    </cfRule>
  </conditionalFormatting>
  <conditionalFormatting sqref="H631">
    <cfRule type="cellIs" dxfId="173" priority="2295" operator="equal">
      <formula>0</formula>
    </cfRule>
  </conditionalFormatting>
  <conditionalFormatting sqref="H631">
    <cfRule type="cellIs" dxfId="172" priority="2296" operator="equal">
      <formula>0</formula>
    </cfRule>
  </conditionalFormatting>
  <conditionalFormatting sqref="H631">
    <cfRule type="cellIs" dxfId="171" priority="2297" operator="equal">
      <formula>0</formula>
    </cfRule>
  </conditionalFormatting>
  <conditionalFormatting sqref="H631">
    <cfRule type="cellIs" dxfId="170" priority="2298" operator="equal">
      <formula>0</formula>
    </cfRule>
  </conditionalFormatting>
  <conditionalFormatting sqref="H631">
    <cfRule type="cellIs" dxfId="169" priority="2299" operator="equal">
      <formula>0</formula>
    </cfRule>
  </conditionalFormatting>
  <conditionalFormatting sqref="H631">
    <cfRule type="cellIs" dxfId="168" priority="2300" operator="equal">
      <formula>0</formula>
    </cfRule>
  </conditionalFormatting>
  <conditionalFormatting sqref="H631">
    <cfRule type="cellIs" dxfId="167" priority="2301" operator="equal">
      <formula>0</formula>
    </cfRule>
  </conditionalFormatting>
  <conditionalFormatting sqref="H631">
    <cfRule type="cellIs" dxfId="166" priority="2302" operator="equal">
      <formula>0</formula>
    </cfRule>
  </conditionalFormatting>
  <conditionalFormatting sqref="H631">
    <cfRule type="cellIs" dxfId="165" priority="2303" operator="equal">
      <formula>0</formula>
    </cfRule>
  </conditionalFormatting>
  <conditionalFormatting sqref="H631">
    <cfRule type="cellIs" dxfId="164" priority="2304" operator="equal">
      <formula>0</formula>
    </cfRule>
  </conditionalFormatting>
  <conditionalFormatting sqref="H631">
    <cfRule type="cellIs" dxfId="163" priority="2305" operator="equal">
      <formula>0</formula>
    </cfRule>
  </conditionalFormatting>
  <conditionalFormatting sqref="H631">
    <cfRule type="cellIs" dxfId="162" priority="2306" operator="equal">
      <formula>0</formula>
    </cfRule>
  </conditionalFormatting>
  <conditionalFormatting sqref="H631">
    <cfRule type="cellIs" dxfId="161" priority="2307" operator="equal">
      <formula>0</formula>
    </cfRule>
  </conditionalFormatting>
  <conditionalFormatting sqref="H631">
    <cfRule type="cellIs" dxfId="160" priority="2308" operator="equal">
      <formula>0</formula>
    </cfRule>
  </conditionalFormatting>
  <conditionalFormatting sqref="H631">
    <cfRule type="cellIs" dxfId="159" priority="2309" operator="equal">
      <formula>0</formula>
    </cfRule>
  </conditionalFormatting>
  <conditionalFormatting sqref="H631">
    <cfRule type="cellIs" dxfId="158" priority="2310" operator="equal">
      <formula>0</formula>
    </cfRule>
  </conditionalFormatting>
  <conditionalFormatting sqref="H631">
    <cfRule type="cellIs" dxfId="157" priority="2311" operator="equal">
      <formula>0</formula>
    </cfRule>
  </conditionalFormatting>
  <conditionalFormatting sqref="H631">
    <cfRule type="cellIs" dxfId="156" priority="2312" operator="equal">
      <formula>0</formula>
    </cfRule>
  </conditionalFormatting>
  <conditionalFormatting sqref="H631">
    <cfRule type="cellIs" dxfId="155" priority="2313" operator="equal">
      <formula>0</formula>
    </cfRule>
  </conditionalFormatting>
  <conditionalFormatting sqref="H631">
    <cfRule type="cellIs" dxfId="154" priority="2314" operator="equal">
      <formula>0</formula>
    </cfRule>
  </conditionalFormatting>
  <conditionalFormatting sqref="H631">
    <cfRule type="cellIs" dxfId="153" priority="2315" operator="equal">
      <formula>0</formula>
    </cfRule>
  </conditionalFormatting>
  <conditionalFormatting sqref="H631">
    <cfRule type="cellIs" dxfId="152" priority="2316" operator="equal">
      <formula>0</formula>
    </cfRule>
  </conditionalFormatting>
  <conditionalFormatting sqref="H631">
    <cfRule type="cellIs" dxfId="151" priority="2317" operator="equal">
      <formula>0</formula>
    </cfRule>
  </conditionalFormatting>
  <conditionalFormatting sqref="H631">
    <cfRule type="cellIs" dxfId="150" priority="2318" operator="equal">
      <formula>0</formula>
    </cfRule>
  </conditionalFormatting>
  <conditionalFormatting sqref="H631">
    <cfRule type="cellIs" dxfId="149" priority="2319" operator="equal">
      <formula>0</formula>
    </cfRule>
  </conditionalFormatting>
  <conditionalFormatting sqref="H631">
    <cfRule type="cellIs" dxfId="148" priority="2320" operator="equal">
      <formula>0</formula>
    </cfRule>
  </conditionalFormatting>
  <conditionalFormatting sqref="H631">
    <cfRule type="cellIs" dxfId="147" priority="2321" operator="equal">
      <formula>0</formula>
    </cfRule>
  </conditionalFormatting>
  <conditionalFormatting sqref="H631">
    <cfRule type="cellIs" dxfId="146" priority="2322" operator="equal">
      <formula>0</formula>
    </cfRule>
  </conditionalFormatting>
  <conditionalFormatting sqref="H631">
    <cfRule type="cellIs" dxfId="145" priority="2323" operator="equal">
      <formula>0</formula>
    </cfRule>
  </conditionalFormatting>
  <conditionalFormatting sqref="H631">
    <cfRule type="cellIs" dxfId="144" priority="2324" operator="equal">
      <formula>0</formula>
    </cfRule>
  </conditionalFormatting>
  <conditionalFormatting sqref="H631">
    <cfRule type="cellIs" dxfId="143" priority="2325" operator="equal">
      <formula>0</formula>
    </cfRule>
  </conditionalFormatting>
  <conditionalFormatting sqref="H631">
    <cfRule type="cellIs" dxfId="142" priority="2326" operator="equal">
      <formula>0</formula>
    </cfRule>
  </conditionalFormatting>
  <conditionalFormatting sqref="H631">
    <cfRule type="cellIs" dxfId="141" priority="2327" operator="equal">
      <formula>0</formula>
    </cfRule>
  </conditionalFormatting>
  <conditionalFormatting sqref="H631">
    <cfRule type="cellIs" dxfId="140" priority="2328" operator="equal">
      <formula>0</formula>
    </cfRule>
  </conditionalFormatting>
  <conditionalFormatting sqref="H631">
    <cfRule type="cellIs" dxfId="139" priority="2329" operator="equal">
      <formula>0</formula>
    </cfRule>
  </conditionalFormatting>
  <conditionalFormatting sqref="H631">
    <cfRule type="cellIs" dxfId="138" priority="2330" operator="equal">
      <formula>0</formula>
    </cfRule>
  </conditionalFormatting>
  <conditionalFormatting sqref="H631">
    <cfRule type="cellIs" dxfId="137" priority="2331" operator="equal">
      <formula>0</formula>
    </cfRule>
  </conditionalFormatting>
  <conditionalFormatting sqref="H631">
    <cfRule type="cellIs" dxfId="136" priority="2332" operator="equal">
      <formula>0</formula>
    </cfRule>
  </conditionalFormatting>
  <conditionalFormatting sqref="H631">
    <cfRule type="cellIs" dxfId="135" priority="2333" operator="equal">
      <formula>0</formula>
    </cfRule>
  </conditionalFormatting>
  <conditionalFormatting sqref="H631">
    <cfRule type="cellIs" dxfId="134" priority="2334" operator="equal">
      <formula>0</formula>
    </cfRule>
  </conditionalFormatting>
  <conditionalFormatting sqref="H631">
    <cfRule type="cellIs" dxfId="133" priority="2335" operator="equal">
      <formula>0</formula>
    </cfRule>
  </conditionalFormatting>
  <conditionalFormatting sqref="H631">
    <cfRule type="cellIs" dxfId="132" priority="2336" operator="equal">
      <formula>0</formula>
    </cfRule>
  </conditionalFormatting>
  <conditionalFormatting sqref="H631">
    <cfRule type="cellIs" dxfId="131" priority="2337" operator="equal">
      <formula>0</formula>
    </cfRule>
  </conditionalFormatting>
  <conditionalFormatting sqref="H631">
    <cfRule type="cellIs" dxfId="130" priority="2338" operator="equal">
      <formula>0</formula>
    </cfRule>
  </conditionalFormatting>
  <conditionalFormatting sqref="H631">
    <cfRule type="cellIs" dxfId="129" priority="2339" operator="equal">
      <formula>0</formula>
    </cfRule>
  </conditionalFormatting>
  <conditionalFormatting sqref="H631">
    <cfRule type="cellIs" dxfId="128" priority="2340" operator="equal">
      <formula>0</formula>
    </cfRule>
  </conditionalFormatting>
  <conditionalFormatting sqref="H631">
    <cfRule type="cellIs" dxfId="127" priority="2341" operator="equal">
      <formula>0</formula>
    </cfRule>
  </conditionalFormatting>
  <conditionalFormatting sqref="H631">
    <cfRule type="cellIs" dxfId="126" priority="2342" operator="equal">
      <formula>0</formula>
    </cfRule>
  </conditionalFormatting>
  <conditionalFormatting sqref="H631">
    <cfRule type="cellIs" dxfId="125" priority="2343" operator="equal">
      <formula>0</formula>
    </cfRule>
  </conditionalFormatting>
  <conditionalFormatting sqref="H631">
    <cfRule type="cellIs" dxfId="124" priority="2344" operator="equal">
      <formula>0</formula>
    </cfRule>
  </conditionalFormatting>
  <conditionalFormatting sqref="H631">
    <cfRule type="cellIs" dxfId="123" priority="2345" operator="equal">
      <formula>0</formula>
    </cfRule>
  </conditionalFormatting>
  <conditionalFormatting sqref="H631">
    <cfRule type="cellIs" dxfId="122" priority="2346" operator="equal">
      <formula>0</formula>
    </cfRule>
  </conditionalFormatting>
  <conditionalFormatting sqref="H631">
    <cfRule type="cellIs" dxfId="121" priority="2347" operator="equal">
      <formula>0</formula>
    </cfRule>
  </conditionalFormatting>
  <conditionalFormatting sqref="H631">
    <cfRule type="cellIs" dxfId="120" priority="2348" operator="equal">
      <formula>0</formula>
    </cfRule>
  </conditionalFormatting>
  <conditionalFormatting sqref="H631">
    <cfRule type="cellIs" dxfId="119" priority="2349" operator="equal">
      <formula>0</formula>
    </cfRule>
  </conditionalFormatting>
  <conditionalFormatting sqref="H631">
    <cfRule type="cellIs" dxfId="118" priority="2350" operator="equal">
      <formula>0</formula>
    </cfRule>
  </conditionalFormatting>
  <conditionalFormatting sqref="H631">
    <cfRule type="cellIs" dxfId="117" priority="2351" operator="equal">
      <formula>0</formula>
    </cfRule>
  </conditionalFormatting>
  <conditionalFormatting sqref="H631">
    <cfRule type="cellIs" dxfId="116" priority="2352" operator="equal">
      <formula>0</formula>
    </cfRule>
  </conditionalFormatting>
  <conditionalFormatting sqref="H631">
    <cfRule type="cellIs" dxfId="115" priority="2353" operator="equal">
      <formula>0</formula>
    </cfRule>
  </conditionalFormatting>
  <conditionalFormatting sqref="H631">
    <cfRule type="cellIs" dxfId="114" priority="2354" operator="equal">
      <formula>0</formula>
    </cfRule>
  </conditionalFormatting>
  <conditionalFormatting sqref="H631">
    <cfRule type="cellIs" dxfId="113" priority="2355" operator="equal">
      <formula>0</formula>
    </cfRule>
  </conditionalFormatting>
  <conditionalFormatting sqref="H631">
    <cfRule type="cellIs" dxfId="112" priority="2356" operator="equal">
      <formula>0</formula>
    </cfRule>
  </conditionalFormatting>
  <conditionalFormatting sqref="H631">
    <cfRule type="cellIs" dxfId="111" priority="2357" operator="equal">
      <formula>0</formula>
    </cfRule>
  </conditionalFormatting>
  <conditionalFormatting sqref="H631">
    <cfRule type="cellIs" dxfId="110" priority="2358" operator="equal">
      <formula>0</formula>
    </cfRule>
  </conditionalFormatting>
  <conditionalFormatting sqref="H631">
    <cfRule type="cellIs" dxfId="109" priority="2359" operator="equal">
      <formula>0</formula>
    </cfRule>
  </conditionalFormatting>
  <conditionalFormatting sqref="H631">
    <cfRule type="cellIs" dxfId="108" priority="2360" operator="equal">
      <formula>0</formula>
    </cfRule>
  </conditionalFormatting>
  <conditionalFormatting sqref="H631">
    <cfRule type="cellIs" dxfId="107" priority="2361" operator="equal">
      <formula>0</formula>
    </cfRule>
  </conditionalFormatting>
  <conditionalFormatting sqref="H631">
    <cfRule type="cellIs" dxfId="106" priority="2362" operator="equal">
      <formula>0</formula>
    </cfRule>
  </conditionalFormatting>
  <conditionalFormatting sqref="H631">
    <cfRule type="cellIs" dxfId="105" priority="2363" operator="equal">
      <formula>0</formula>
    </cfRule>
  </conditionalFormatting>
  <conditionalFormatting sqref="H631">
    <cfRule type="cellIs" dxfId="104" priority="2364" operator="equal">
      <formula>0</formula>
    </cfRule>
  </conditionalFormatting>
  <conditionalFormatting sqref="H631">
    <cfRule type="cellIs" dxfId="103" priority="2365" operator="equal">
      <formula>0</formula>
    </cfRule>
  </conditionalFormatting>
  <conditionalFormatting sqref="H631">
    <cfRule type="cellIs" dxfId="102" priority="2366" operator="equal">
      <formula>0</formula>
    </cfRule>
  </conditionalFormatting>
  <conditionalFormatting sqref="H631">
    <cfRule type="cellIs" dxfId="101" priority="2367" operator="equal">
      <formula>0</formula>
    </cfRule>
  </conditionalFormatting>
  <conditionalFormatting sqref="H631">
    <cfRule type="cellIs" dxfId="100" priority="2368" operator="equal">
      <formula>0</formula>
    </cfRule>
  </conditionalFormatting>
  <conditionalFormatting sqref="H631">
    <cfRule type="cellIs" dxfId="99" priority="2369" operator="equal">
      <formula>0</formula>
    </cfRule>
  </conditionalFormatting>
  <conditionalFormatting sqref="H631">
    <cfRule type="cellIs" dxfId="98" priority="2370" operator="equal">
      <formula>0</formula>
    </cfRule>
  </conditionalFormatting>
  <conditionalFormatting sqref="H631">
    <cfRule type="cellIs" dxfId="97" priority="2371" operator="equal">
      <formula>0</formula>
    </cfRule>
  </conditionalFormatting>
  <conditionalFormatting sqref="H631">
    <cfRule type="cellIs" dxfId="96" priority="2372" operator="equal">
      <formula>0</formula>
    </cfRule>
  </conditionalFormatting>
  <conditionalFormatting sqref="H631">
    <cfRule type="cellIs" dxfId="95" priority="2373" operator="equal">
      <formula>0</formula>
    </cfRule>
  </conditionalFormatting>
  <conditionalFormatting sqref="H631">
    <cfRule type="cellIs" dxfId="94" priority="2374" operator="equal">
      <formula>0</formula>
    </cfRule>
  </conditionalFormatting>
  <conditionalFormatting sqref="H631">
    <cfRule type="cellIs" dxfId="93" priority="2375" operator="equal">
      <formula>0</formula>
    </cfRule>
  </conditionalFormatting>
  <conditionalFormatting sqref="H631">
    <cfRule type="cellIs" dxfId="92" priority="2376" operator="equal">
      <formula>0</formula>
    </cfRule>
  </conditionalFormatting>
  <conditionalFormatting sqref="H631">
    <cfRule type="cellIs" dxfId="91" priority="2377" operator="equal">
      <formula>0</formula>
    </cfRule>
  </conditionalFormatting>
  <conditionalFormatting sqref="H675">
    <cfRule type="cellIs" dxfId="90" priority="2378" operator="equal">
      <formula>0</formula>
    </cfRule>
  </conditionalFormatting>
  <conditionalFormatting sqref="H675">
    <cfRule type="cellIs" dxfId="89" priority="2379" operator="equal">
      <formula>0</formula>
    </cfRule>
  </conditionalFormatting>
  <conditionalFormatting sqref="H675">
    <cfRule type="cellIs" dxfId="88" priority="2380" operator="equal">
      <formula>0</formula>
    </cfRule>
  </conditionalFormatting>
  <conditionalFormatting sqref="H675">
    <cfRule type="cellIs" dxfId="87" priority="2381" operator="equal">
      <formula>0</formula>
    </cfRule>
  </conditionalFormatting>
  <conditionalFormatting sqref="H675">
    <cfRule type="cellIs" dxfId="86" priority="2382" operator="equal">
      <formula>0</formula>
    </cfRule>
  </conditionalFormatting>
  <conditionalFormatting sqref="H675">
    <cfRule type="cellIs" dxfId="85" priority="2383" operator="equal">
      <formula>0</formula>
    </cfRule>
  </conditionalFormatting>
  <conditionalFormatting sqref="H675">
    <cfRule type="cellIs" dxfId="84" priority="2384" operator="equal">
      <formula>0</formula>
    </cfRule>
  </conditionalFormatting>
  <conditionalFormatting sqref="H675">
    <cfRule type="cellIs" dxfId="83" priority="2385" operator="equal">
      <formula>0</formula>
    </cfRule>
  </conditionalFormatting>
  <conditionalFormatting sqref="H675">
    <cfRule type="cellIs" dxfId="82" priority="2386" operator="equal">
      <formula>0</formula>
    </cfRule>
  </conditionalFormatting>
  <conditionalFormatting sqref="H675">
    <cfRule type="cellIs" dxfId="81" priority="2387" operator="equal">
      <formula>0</formula>
    </cfRule>
  </conditionalFormatting>
  <conditionalFormatting sqref="H675">
    <cfRule type="cellIs" dxfId="80" priority="2388" operator="equal">
      <formula>0</formula>
    </cfRule>
  </conditionalFormatting>
  <conditionalFormatting sqref="H675">
    <cfRule type="cellIs" dxfId="79" priority="2389" operator="equal">
      <formula>0</formula>
    </cfRule>
  </conditionalFormatting>
  <conditionalFormatting sqref="H675">
    <cfRule type="cellIs" dxfId="78" priority="2390" operator="equal">
      <formula>0</formula>
    </cfRule>
  </conditionalFormatting>
  <conditionalFormatting sqref="H675">
    <cfRule type="cellIs" dxfId="77" priority="2391" operator="equal">
      <formula>0</formula>
    </cfRule>
  </conditionalFormatting>
  <conditionalFormatting sqref="H675">
    <cfRule type="cellIs" dxfId="76" priority="2392" operator="equal">
      <formula>0</formula>
    </cfRule>
  </conditionalFormatting>
  <conditionalFormatting sqref="H675">
    <cfRule type="cellIs" dxfId="75" priority="2393" operator="equal">
      <formula>0</formula>
    </cfRule>
  </conditionalFormatting>
  <conditionalFormatting sqref="H675">
    <cfRule type="cellIs" dxfId="74" priority="2394" operator="equal">
      <formula>0</formula>
    </cfRule>
  </conditionalFormatting>
  <conditionalFormatting sqref="H675">
    <cfRule type="cellIs" dxfId="73" priority="2395" operator="equal">
      <formula>0</formula>
    </cfRule>
  </conditionalFormatting>
  <conditionalFormatting sqref="H675">
    <cfRule type="cellIs" dxfId="72" priority="2396" operator="equal">
      <formula>0</formula>
    </cfRule>
  </conditionalFormatting>
  <conditionalFormatting sqref="H675">
    <cfRule type="cellIs" dxfId="71" priority="2397" operator="equal">
      <formula>0</formula>
    </cfRule>
  </conditionalFormatting>
  <conditionalFormatting sqref="H675">
    <cfRule type="cellIs" dxfId="70" priority="2398" operator="equal">
      <formula>0</formula>
    </cfRule>
  </conditionalFormatting>
  <conditionalFormatting sqref="H675">
    <cfRule type="cellIs" dxfId="69" priority="2399" operator="equal">
      <formula>0</formula>
    </cfRule>
  </conditionalFormatting>
  <conditionalFormatting sqref="H675">
    <cfRule type="cellIs" dxfId="68" priority="2400" operator="equal">
      <formula>0</formula>
    </cfRule>
  </conditionalFormatting>
  <conditionalFormatting sqref="H675">
    <cfRule type="cellIs" dxfId="67" priority="2401" operator="equal">
      <formula>0</formula>
    </cfRule>
  </conditionalFormatting>
  <conditionalFormatting sqref="H675">
    <cfRule type="cellIs" dxfId="66" priority="2402" operator="equal">
      <formula>0</formula>
    </cfRule>
  </conditionalFormatting>
  <conditionalFormatting sqref="H675">
    <cfRule type="cellIs" dxfId="65" priority="2403" operator="equal">
      <formula>0</formula>
    </cfRule>
  </conditionalFormatting>
  <conditionalFormatting sqref="H675">
    <cfRule type="cellIs" dxfId="64" priority="2404" operator="equal">
      <formula>0</formula>
    </cfRule>
  </conditionalFormatting>
  <conditionalFormatting sqref="H675">
    <cfRule type="cellIs" dxfId="63" priority="2405" operator="equal">
      <formula>0</formula>
    </cfRule>
  </conditionalFormatting>
  <conditionalFormatting sqref="H675">
    <cfRule type="cellIs" dxfId="62" priority="2406" operator="equal">
      <formula>0</formula>
    </cfRule>
  </conditionalFormatting>
  <conditionalFormatting sqref="H675">
    <cfRule type="cellIs" dxfId="61" priority="2407" operator="equal">
      <formula>0</formula>
    </cfRule>
  </conditionalFormatting>
  <conditionalFormatting sqref="H675">
    <cfRule type="cellIs" dxfId="60" priority="2408" operator="equal">
      <formula>0</formula>
    </cfRule>
  </conditionalFormatting>
  <conditionalFormatting sqref="H675">
    <cfRule type="cellIs" dxfId="59" priority="2409" operator="equal">
      <formula>0</formula>
    </cfRule>
  </conditionalFormatting>
  <conditionalFormatting sqref="H675">
    <cfRule type="cellIs" dxfId="58" priority="2410" operator="equal">
      <formula>0</formula>
    </cfRule>
  </conditionalFormatting>
  <conditionalFormatting sqref="H675">
    <cfRule type="cellIs" dxfId="57" priority="2411" operator="equal">
      <formula>0</formula>
    </cfRule>
  </conditionalFormatting>
  <conditionalFormatting sqref="H675">
    <cfRule type="cellIs" dxfId="56" priority="2412" operator="equal">
      <formula>0</formula>
    </cfRule>
  </conditionalFormatting>
  <conditionalFormatting sqref="H675">
    <cfRule type="cellIs" dxfId="55" priority="2413" operator="equal">
      <formula>0</formula>
    </cfRule>
  </conditionalFormatting>
  <conditionalFormatting sqref="H675">
    <cfRule type="cellIs" dxfId="54" priority="2414" operator="equal">
      <formula>0</formula>
    </cfRule>
  </conditionalFormatting>
  <conditionalFormatting sqref="H675">
    <cfRule type="cellIs" dxfId="53" priority="2415" operator="equal">
      <formula>0</formula>
    </cfRule>
  </conditionalFormatting>
  <conditionalFormatting sqref="H675">
    <cfRule type="cellIs" dxfId="52" priority="2416" operator="equal">
      <formula>0</formula>
    </cfRule>
  </conditionalFormatting>
  <conditionalFormatting sqref="H675">
    <cfRule type="cellIs" dxfId="51" priority="2417" operator="equal">
      <formula>0</formula>
    </cfRule>
  </conditionalFormatting>
  <conditionalFormatting sqref="H675">
    <cfRule type="cellIs" dxfId="50" priority="2418" operator="equal">
      <formula>0</formula>
    </cfRule>
  </conditionalFormatting>
  <conditionalFormatting sqref="H675">
    <cfRule type="cellIs" dxfId="49" priority="2419" operator="equal">
      <formula>0</formula>
    </cfRule>
  </conditionalFormatting>
  <conditionalFormatting sqref="H675">
    <cfRule type="cellIs" dxfId="48" priority="2420" operator="equal">
      <formula>0</formula>
    </cfRule>
  </conditionalFormatting>
  <conditionalFormatting sqref="H675">
    <cfRule type="cellIs" dxfId="47" priority="2421" operator="equal">
      <formula>0</formula>
    </cfRule>
  </conditionalFormatting>
  <conditionalFormatting sqref="H675">
    <cfRule type="cellIs" dxfId="46" priority="2422" operator="equal">
      <formula>0</formula>
    </cfRule>
  </conditionalFormatting>
  <conditionalFormatting sqref="H675">
    <cfRule type="cellIs" dxfId="45" priority="2423" operator="equal">
      <formula>0</formula>
    </cfRule>
  </conditionalFormatting>
  <conditionalFormatting sqref="H675">
    <cfRule type="cellIs" dxfId="44" priority="2424" operator="equal">
      <formula>0</formula>
    </cfRule>
  </conditionalFormatting>
  <conditionalFormatting sqref="H675">
    <cfRule type="cellIs" dxfId="43" priority="2425" operator="equal">
      <formula>0</formula>
    </cfRule>
  </conditionalFormatting>
  <conditionalFormatting sqref="H675">
    <cfRule type="cellIs" dxfId="42" priority="2426" operator="equal">
      <formula>0</formula>
    </cfRule>
  </conditionalFormatting>
  <conditionalFormatting sqref="H675">
    <cfRule type="cellIs" dxfId="41" priority="2427" operator="equal">
      <formula>0</formula>
    </cfRule>
  </conditionalFormatting>
  <conditionalFormatting sqref="H675">
    <cfRule type="cellIs" dxfId="40" priority="2428" operator="equal">
      <formula>0</formula>
    </cfRule>
  </conditionalFormatting>
  <conditionalFormatting sqref="H675">
    <cfRule type="cellIs" dxfId="39" priority="2429" operator="equal">
      <formula>0</formula>
    </cfRule>
  </conditionalFormatting>
  <conditionalFormatting sqref="H675">
    <cfRule type="cellIs" dxfId="38" priority="2430" operator="equal">
      <formula>0</formula>
    </cfRule>
  </conditionalFormatting>
  <conditionalFormatting sqref="H675">
    <cfRule type="cellIs" dxfId="37" priority="2431" operator="equal">
      <formula>0</formula>
    </cfRule>
  </conditionalFormatting>
  <conditionalFormatting sqref="H675">
    <cfRule type="cellIs" dxfId="36" priority="2432" operator="equal">
      <formula>0</formula>
    </cfRule>
  </conditionalFormatting>
  <conditionalFormatting sqref="H675">
    <cfRule type="cellIs" dxfId="35" priority="2433" operator="equal">
      <formula>0</formula>
    </cfRule>
  </conditionalFormatting>
  <conditionalFormatting sqref="H675">
    <cfRule type="cellIs" dxfId="34" priority="2434" operator="equal">
      <formula>0</formula>
    </cfRule>
  </conditionalFormatting>
  <conditionalFormatting sqref="H675">
    <cfRule type="cellIs" dxfId="33" priority="2435" operator="equal">
      <formula>0</formula>
    </cfRule>
  </conditionalFormatting>
  <conditionalFormatting sqref="H675">
    <cfRule type="cellIs" dxfId="32" priority="2436" operator="equal">
      <formula>0</formula>
    </cfRule>
  </conditionalFormatting>
  <conditionalFormatting sqref="H675">
    <cfRule type="cellIs" dxfId="31" priority="2437" operator="equal">
      <formula>0</formula>
    </cfRule>
  </conditionalFormatting>
  <conditionalFormatting sqref="H675">
    <cfRule type="cellIs" dxfId="30" priority="2438" operator="equal">
      <formula>0</formula>
    </cfRule>
  </conditionalFormatting>
  <conditionalFormatting sqref="H675">
    <cfRule type="cellIs" dxfId="29" priority="2439" operator="equal">
      <formula>0</formula>
    </cfRule>
  </conditionalFormatting>
  <conditionalFormatting sqref="H675">
    <cfRule type="cellIs" dxfId="28" priority="2440" operator="equal">
      <formula>0</formula>
    </cfRule>
  </conditionalFormatting>
  <conditionalFormatting sqref="H675">
    <cfRule type="cellIs" dxfId="27" priority="2441" operator="equal">
      <formula>0</formula>
    </cfRule>
  </conditionalFormatting>
  <conditionalFormatting sqref="H675">
    <cfRule type="cellIs" dxfId="26" priority="2442" operator="equal">
      <formula>0</formula>
    </cfRule>
  </conditionalFormatting>
  <conditionalFormatting sqref="H675">
    <cfRule type="cellIs" dxfId="25" priority="2443" operator="equal">
      <formula>0</formula>
    </cfRule>
  </conditionalFormatting>
  <conditionalFormatting sqref="H675">
    <cfRule type="cellIs" dxfId="24" priority="2444" operator="equal">
      <formula>0</formula>
    </cfRule>
  </conditionalFormatting>
  <conditionalFormatting sqref="H675">
    <cfRule type="cellIs" dxfId="23" priority="2445" operator="equal">
      <formula>0</formula>
    </cfRule>
  </conditionalFormatting>
  <conditionalFormatting sqref="H675">
    <cfRule type="cellIs" dxfId="22" priority="2446" operator="equal">
      <formula>0</formula>
    </cfRule>
  </conditionalFormatting>
  <conditionalFormatting sqref="H675">
    <cfRule type="cellIs" dxfId="21" priority="2447" operator="equal">
      <formula>0</formula>
    </cfRule>
  </conditionalFormatting>
  <conditionalFormatting sqref="H675">
    <cfRule type="cellIs" dxfId="20" priority="2448" operator="equal">
      <formula>0</formula>
    </cfRule>
  </conditionalFormatting>
  <conditionalFormatting sqref="H675">
    <cfRule type="cellIs" dxfId="19" priority="2449" operator="equal">
      <formula>0</formula>
    </cfRule>
  </conditionalFormatting>
  <conditionalFormatting sqref="H675">
    <cfRule type="cellIs" dxfId="18" priority="2450" operator="equal">
      <formula>0</formula>
    </cfRule>
  </conditionalFormatting>
  <conditionalFormatting sqref="H675">
    <cfRule type="cellIs" dxfId="17" priority="2451" operator="equal">
      <formula>0</formula>
    </cfRule>
  </conditionalFormatting>
  <conditionalFormatting sqref="H675">
    <cfRule type="cellIs" dxfId="16" priority="2452" operator="equal">
      <formula>0</formula>
    </cfRule>
  </conditionalFormatting>
  <conditionalFormatting sqref="H675">
    <cfRule type="cellIs" dxfId="15" priority="2453" operator="equal">
      <formula>0</formula>
    </cfRule>
  </conditionalFormatting>
  <conditionalFormatting sqref="H675">
    <cfRule type="cellIs" dxfId="14" priority="2454" operator="equal">
      <formula>0</formula>
    </cfRule>
  </conditionalFormatting>
  <conditionalFormatting sqref="H675">
    <cfRule type="cellIs" dxfId="13" priority="2455" operator="equal">
      <formula>0</formula>
    </cfRule>
  </conditionalFormatting>
  <conditionalFormatting sqref="H675">
    <cfRule type="cellIs" dxfId="12" priority="2456" operator="equal">
      <formula>0</formula>
    </cfRule>
  </conditionalFormatting>
  <conditionalFormatting sqref="H675">
    <cfRule type="cellIs" dxfId="11" priority="2457" operator="equal">
      <formula>0</formula>
    </cfRule>
  </conditionalFormatting>
  <conditionalFormatting sqref="H675">
    <cfRule type="cellIs" dxfId="10" priority="2458" operator="equal">
      <formula>0</formula>
    </cfRule>
  </conditionalFormatting>
  <conditionalFormatting sqref="H675">
    <cfRule type="cellIs" dxfId="9" priority="2459" operator="equal">
      <formula>0</formula>
    </cfRule>
  </conditionalFormatting>
  <conditionalFormatting sqref="H675">
    <cfRule type="cellIs" dxfId="8" priority="2460" operator="equal">
      <formula>0</formula>
    </cfRule>
  </conditionalFormatting>
  <conditionalFormatting sqref="H675">
    <cfRule type="cellIs" dxfId="7" priority="2461" operator="equal">
      <formula>0</formula>
    </cfRule>
  </conditionalFormatting>
  <conditionalFormatting sqref="H675">
    <cfRule type="cellIs" dxfId="6" priority="2462" operator="equal">
      <formula>0</formula>
    </cfRule>
  </conditionalFormatting>
  <conditionalFormatting sqref="H675">
    <cfRule type="cellIs" dxfId="5" priority="2463" operator="equal">
      <formula>0</formula>
    </cfRule>
  </conditionalFormatting>
  <conditionalFormatting sqref="H675">
    <cfRule type="cellIs" dxfId="4" priority="2464" operator="equal">
      <formula>0</formula>
    </cfRule>
  </conditionalFormatting>
  <conditionalFormatting sqref="H675">
    <cfRule type="cellIs" dxfId="3" priority="2465" operator="equal">
      <formula>0</formula>
    </cfRule>
  </conditionalFormatting>
  <conditionalFormatting sqref="H675">
    <cfRule type="cellIs" dxfId="2" priority="2466" operator="equal">
      <formula>0</formula>
    </cfRule>
  </conditionalFormatting>
  <conditionalFormatting sqref="H675">
    <cfRule type="cellIs" dxfId="1" priority="2467" operator="equal">
      <formula>0</formula>
    </cfRule>
  </conditionalFormatting>
  <conditionalFormatting sqref="H675">
    <cfRule type="cellIs" dxfId="0" priority="2468" operator="equal">
      <formula>0</formula>
    </cfRule>
  </conditionalFormatting>
  <pageMargins left="1.1023622047244095" right="0.51181102362204722" top="0.78740157480314965" bottom="0.98425196850393704" header="0" footer="0"/>
  <pageSetup paperSize="9" scale="70" orientation="landscape"/>
  <headerFooter>
    <oddHeader>&amp;CDEMOLIÇÕES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66"/>
  <sheetViews>
    <sheetView workbookViewId="0">
      <selection activeCell="E4" sqref="E4"/>
    </sheetView>
  </sheetViews>
  <sheetFormatPr defaultColWidth="14.42578125" defaultRowHeight="15" customHeight="1"/>
  <cols>
    <col min="1" max="1" width="17.7109375" customWidth="1"/>
    <col min="2" max="2" width="4" customWidth="1"/>
    <col min="3" max="3" width="26.28515625" customWidth="1"/>
    <col min="4" max="4" width="12.28515625" customWidth="1"/>
    <col min="5" max="5" width="10.85546875" customWidth="1"/>
    <col min="6" max="6" width="12.140625" customWidth="1"/>
    <col min="7" max="7" width="12.28515625" customWidth="1"/>
    <col min="8" max="8" width="10.28515625" customWidth="1"/>
    <col min="9" max="9" width="11.85546875" customWidth="1"/>
    <col min="10" max="10" width="10" customWidth="1"/>
    <col min="11" max="11" width="13.5703125" customWidth="1"/>
    <col min="12" max="12" width="12" customWidth="1"/>
    <col min="13" max="13" width="14" customWidth="1"/>
    <col min="14" max="14" width="11.7109375" customWidth="1"/>
    <col min="15" max="15" width="12" customWidth="1"/>
    <col min="16" max="16" width="14.140625" customWidth="1"/>
    <col min="17" max="26" width="9.140625" customWidth="1"/>
  </cols>
  <sheetData>
    <row r="1" spans="1:26" ht="14.25" customHeight="1">
      <c r="A1" s="24"/>
      <c r="B1" s="24"/>
      <c r="C1" s="24"/>
      <c r="D1" s="109" t="s">
        <v>2</v>
      </c>
      <c r="E1" s="109" t="s">
        <v>67</v>
      </c>
      <c r="F1" s="109" t="s">
        <v>85</v>
      </c>
      <c r="G1" s="109" t="s">
        <v>99</v>
      </c>
      <c r="H1" s="109" t="s">
        <v>133</v>
      </c>
      <c r="I1" s="109" t="s">
        <v>153</v>
      </c>
      <c r="J1" s="109" t="s">
        <v>161</v>
      </c>
      <c r="K1" s="109" t="s">
        <v>195</v>
      </c>
      <c r="L1" s="109" t="s">
        <v>240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44.25" customHeight="1">
      <c r="A2" s="110" t="s">
        <v>359</v>
      </c>
      <c r="B2" s="24"/>
      <c r="C2" s="111" t="s">
        <v>66</v>
      </c>
      <c r="D2" s="112" t="str">
        <f>VLOOKUP(D1,'Composição dos serv'!$A:$I,3,FALSE)</f>
        <v>SERVIÇOS INICIAIS e PRELIMINARES</v>
      </c>
      <c r="E2" s="112" t="str">
        <f>VLOOKUP(E1,'Composição dos serv'!$A:$I,3,FALSE)</f>
        <v>DEMOLIÇÃO DE CALÇADAS E/OU CAMINHOS</v>
      </c>
      <c r="F2" s="112" t="str">
        <f>VLOOKUP(F1,'Composição dos serv'!$A:$I,3,FALSE)</f>
        <v>DEMOLIÇÃO DE MUROS E CERCAS</v>
      </c>
      <c r="G2" s="112" t="str">
        <f>VLOOKUP(G1,'Composição dos serv'!$A:$I,3,FALSE)</f>
        <v>COBERTURA</v>
      </c>
      <c r="H2" s="112" t="str">
        <f>VLOOKUP(H1,'Composição dos serv'!$A:$I,3,FALSE)</f>
        <v>PAREDES</v>
      </c>
      <c r="I2" s="112" t="str">
        <f>VLOOKUP(I1,'Composição dos serv'!$A:$I,3,FALSE)</f>
        <v>PISO E FUNDAÇÃO</v>
      </c>
      <c r="J2" s="112" t="str">
        <f>VLOOKUP(J1,'Composição dos serv'!$A:$I,3,FALSE)</f>
        <v>ESTRUTURAS DIVERSAS</v>
      </c>
      <c r="K2" s="112" t="str">
        <f>VLOOKUP(K1,'Composição dos serv'!$A:$I,3,FALSE)</f>
        <v>ACABAMENTOS DIVERSOS e OUTROS</v>
      </c>
      <c r="L2" s="112" t="str">
        <f>VLOOKUP(L1,'Composição dos serv'!$A:$I,3,FALSE)</f>
        <v>ENTULHO</v>
      </c>
      <c r="M2" s="112" t="s">
        <v>360</v>
      </c>
      <c r="N2" s="112" t="str">
        <f>CONCATENATE("ADM Local - ",'calculo BDI'!C36*100,"%")</f>
        <v>ADM Local - 8,87%</v>
      </c>
      <c r="O2" s="112" t="str">
        <f>CONCATENATE("BDI - ",'calculo BDI'!C26*100,"%")</f>
        <v>BDI - 22,96%</v>
      </c>
      <c r="P2" s="111" t="s">
        <v>361</v>
      </c>
      <c r="Q2" s="24"/>
      <c r="R2" s="24"/>
      <c r="S2" s="24" t="s">
        <v>270</v>
      </c>
      <c r="T2" s="24"/>
      <c r="U2" s="24"/>
      <c r="V2" s="24" t="s">
        <v>362</v>
      </c>
      <c r="W2" s="24"/>
      <c r="X2" s="24"/>
      <c r="Y2" s="24"/>
      <c r="Z2" s="24"/>
    </row>
    <row r="3" spans="1:26">
      <c r="A3" s="206" t="str">
        <f>'PESM Itutinga Piloes pt1'!C1</f>
        <v>PESM Itutinga Pilões pt.1</v>
      </c>
      <c r="B3" s="113" t="s">
        <v>277</v>
      </c>
      <c r="C3" s="114" t="str">
        <f>VLOOKUP(B3,'PESM Itutinga Piloes pt1'!A:H,3,FALSE)</f>
        <v>IMPLANTAÇÃO GERAL</v>
      </c>
      <c r="D3" s="114">
        <f>SUMIF('PESM Itutinga Piloes pt1'!A:A,(CONCATENATE('Resumo Unit'!B3,".1")),'PESM Itutinga Piloes pt1'!H:H)</f>
        <v>0</v>
      </c>
      <c r="E3" s="114"/>
      <c r="F3" s="114"/>
      <c r="G3" s="114"/>
      <c r="H3" s="114"/>
      <c r="I3" s="114"/>
      <c r="J3" s="114"/>
      <c r="K3" s="114"/>
      <c r="L3" s="114"/>
      <c r="M3" s="114">
        <f t="shared" ref="M3:M32" si="0">SUM(D3:L3)</f>
        <v>0</v>
      </c>
      <c r="N3" s="114">
        <f>M3*'calculo BDI'!C$36</f>
        <v>0</v>
      </c>
      <c r="O3" s="114">
        <f>(M3+N3)*'calculo BDI'!C$26</f>
        <v>0</v>
      </c>
      <c r="P3" s="115">
        <f t="shared" ref="P3:P32" si="1">SUM(M3:O3)</f>
        <v>0</v>
      </c>
      <c r="Q3" s="24"/>
      <c r="R3" s="24"/>
      <c r="S3" s="24"/>
      <c r="T3" s="24"/>
      <c r="U3" s="24"/>
      <c r="V3" s="24" t="e">
        <f>SUMIF(#REF!,'Resumo Unit'!B3,#REF!)</f>
        <v>#REF!</v>
      </c>
      <c r="W3" s="24"/>
      <c r="X3" s="24"/>
      <c r="Y3" s="24"/>
      <c r="Z3" s="24"/>
    </row>
    <row r="4" spans="1:26" ht="14.25" customHeight="1">
      <c r="A4" s="207"/>
      <c r="B4" s="59" t="s">
        <v>281</v>
      </c>
      <c r="C4" s="116" t="str">
        <f>VLOOKUP(B4,'PESM Itutinga Piloes pt1'!A:H,3,FALSE)</f>
        <v>EDIFICAÇÃO 1 - Gleba A01</v>
      </c>
      <c r="D4" s="116"/>
      <c r="E4" s="116">
        <f>SUMIF('PESM Itutinga Piloes pt1'!$A:$A,(CONCATENATE('Resumo Unit'!$B4,".1")),'PESM Itutinga Piloes pt1'!$H:$H)</f>
        <v>0</v>
      </c>
      <c r="F4" s="116">
        <f>SUMIF('PESM Itutinga Piloes pt1'!$A:$A,(CONCATENATE('Resumo Unit'!$B4,".2")),'PESM Itutinga Piloes pt1'!$H:$H)</f>
        <v>0</v>
      </c>
      <c r="G4" s="116">
        <f>SUMIF('PESM Itutinga Piloes pt1'!$A:$A,(CONCATENATE('Resumo Unit'!$B4,".3")),'PESM Itutinga Piloes pt1'!$H:$H)</f>
        <v>0</v>
      </c>
      <c r="H4" s="116">
        <f>SUMIF('PESM Itutinga Piloes pt1'!$A:$A,(CONCATENATE('Resumo Unit'!$B4,".4")),'PESM Itutinga Piloes pt1'!$H:$H)</f>
        <v>0</v>
      </c>
      <c r="I4" s="116">
        <f>SUMIF('PESM Itutinga Piloes pt1'!$A:$A,(CONCATENATE('Resumo Unit'!$B4,".5")),'PESM Itutinga Piloes pt1'!$H:$H)</f>
        <v>0</v>
      </c>
      <c r="J4" s="116">
        <f>SUMIF('PESM Itutinga Piloes pt1'!$A:$A,(CONCATENATE('Resumo Unit'!$B4,".6")),'PESM Itutinga Piloes pt1'!$H:$H)</f>
        <v>0</v>
      </c>
      <c r="K4" s="116">
        <f>SUMIF('PESM Itutinga Piloes pt1'!$A:$A,(CONCATENATE('Resumo Unit'!$B4,".7")),'PESM Itutinga Piloes pt1'!$H:$H)</f>
        <v>0</v>
      </c>
      <c r="L4" s="116">
        <f>SUMIF('PESM Itutinga Piloes pt1'!$A:$A,(CONCATENATE('Resumo Unit'!$B4,".8")),'PESM Itutinga Piloes pt1'!$H:$H)</f>
        <v>0</v>
      </c>
      <c r="M4" s="116">
        <f t="shared" si="0"/>
        <v>0</v>
      </c>
      <c r="N4" s="116">
        <f>M4*'calculo BDI'!C$36</f>
        <v>0</v>
      </c>
      <c r="O4" s="116">
        <f>(M4+N4)*'calculo BDI'!C$26</f>
        <v>0</v>
      </c>
      <c r="P4" s="117">
        <f t="shared" si="1"/>
        <v>0</v>
      </c>
      <c r="Q4" s="24"/>
      <c r="R4" s="24"/>
      <c r="S4" s="24"/>
      <c r="T4" s="24"/>
      <c r="U4" s="24"/>
      <c r="V4" s="24" t="e">
        <f>SUMIF(#REF!,'Resumo Unit'!B4,#REF!)</f>
        <v>#REF!</v>
      </c>
      <c r="W4" s="24"/>
      <c r="X4" s="24"/>
      <c r="Y4" s="24"/>
      <c r="Z4" s="24"/>
    </row>
    <row r="5" spans="1:26" ht="14.25" customHeight="1">
      <c r="A5" s="207"/>
      <c r="B5" s="113" t="s">
        <v>292</v>
      </c>
      <c r="C5" s="114" t="str">
        <f>VLOOKUP(B5,'PESM Itutinga Piloes pt1'!A:H,3,FALSE)</f>
        <v>EDIFICAÇÃO 2 - Gleba A02</v>
      </c>
      <c r="D5" s="114"/>
      <c r="E5" s="114">
        <f>SUMIF('PESM Itutinga Piloes pt1'!$A:$A,(CONCATENATE('Resumo Unit'!$B5,".1")),'PESM Itutinga Piloes pt1'!$H:$H)</f>
        <v>0</v>
      </c>
      <c r="F5" s="114">
        <f>SUMIF('PESM Itutinga Piloes pt1'!$A:$A,(CONCATENATE('Resumo Unit'!$B5,".2")),'PESM Itutinga Piloes pt1'!$H:$H)</f>
        <v>0</v>
      </c>
      <c r="G5" s="114">
        <f>SUMIF('PESM Itutinga Piloes pt1'!$A:$A,(CONCATENATE('Resumo Unit'!$B5,".3")),'PESM Itutinga Piloes pt1'!$H:$H)</f>
        <v>0</v>
      </c>
      <c r="H5" s="114">
        <f>SUMIF('PESM Itutinga Piloes pt1'!$A:$A,(CONCATENATE('Resumo Unit'!$B5,".4")),'PESM Itutinga Piloes pt1'!$H:$H)</f>
        <v>0</v>
      </c>
      <c r="I5" s="114">
        <f>SUMIF('PESM Itutinga Piloes pt1'!$A:$A,(CONCATENATE('Resumo Unit'!$B5,".5")),'PESM Itutinga Piloes pt1'!$H:$H)</f>
        <v>0</v>
      </c>
      <c r="J5" s="114">
        <f>SUMIF('PESM Itutinga Piloes pt1'!$A:$A,(CONCATENATE('Resumo Unit'!$B5,".6")),'PESM Itutinga Piloes pt1'!$H:$H)</f>
        <v>0</v>
      </c>
      <c r="K5" s="114">
        <f>SUMIF('PESM Itutinga Piloes pt1'!$A:$A,(CONCATENATE('Resumo Unit'!$B5,".7")),'PESM Itutinga Piloes pt1'!$H:$H)</f>
        <v>0</v>
      </c>
      <c r="L5" s="114">
        <f>SUMIF('PESM Itutinga Piloes pt1'!$A:$A,(CONCATENATE('Resumo Unit'!$B5,".8")),'PESM Itutinga Piloes pt1'!$H:$H)</f>
        <v>0</v>
      </c>
      <c r="M5" s="114">
        <f t="shared" si="0"/>
        <v>0</v>
      </c>
      <c r="N5" s="114">
        <f>M5*'calculo BDI'!C$36</f>
        <v>0</v>
      </c>
      <c r="O5" s="114">
        <f>(M5+N5)*'calculo BDI'!C$26</f>
        <v>0</v>
      </c>
      <c r="P5" s="115">
        <f t="shared" si="1"/>
        <v>0</v>
      </c>
      <c r="Q5" s="24"/>
      <c r="R5" s="24"/>
      <c r="S5" s="24"/>
      <c r="T5" s="24"/>
      <c r="U5" s="24"/>
      <c r="V5" s="24" t="e">
        <f>SUMIF(#REF!,'Resumo Unit'!B5,#REF!)</f>
        <v>#REF!</v>
      </c>
      <c r="W5" s="24"/>
      <c r="X5" s="24"/>
      <c r="Y5" s="24"/>
      <c r="Z5" s="24"/>
    </row>
    <row r="6" spans="1:26" ht="14.25" customHeight="1">
      <c r="A6" s="207"/>
      <c r="B6" s="59" t="s">
        <v>294</v>
      </c>
      <c r="C6" s="116" t="str">
        <f>VLOOKUP(B6,'PESM Itutinga Piloes pt1'!A:H,3,FALSE)</f>
        <v>EDIFICAÇÃO 3 - Gleba A03</v>
      </c>
      <c r="D6" s="116"/>
      <c r="E6" s="116">
        <f>SUMIF('PESM Itutinga Piloes pt1'!$A:$A,(CONCATENATE('Resumo Unit'!$B6,".1")),'PESM Itutinga Piloes pt1'!$H:$H)</f>
        <v>0</v>
      </c>
      <c r="F6" s="116">
        <f>SUMIF('PESM Itutinga Piloes pt1'!$A:$A,(CONCATENATE('Resumo Unit'!$B6,".2")),'PESM Itutinga Piloes pt1'!$H:$H)</f>
        <v>0</v>
      </c>
      <c r="G6" s="116">
        <f>SUMIF('PESM Itutinga Piloes pt1'!$A:$A,(CONCATENATE('Resumo Unit'!$B6,".3")),'PESM Itutinga Piloes pt1'!$H:$H)</f>
        <v>0</v>
      </c>
      <c r="H6" s="116">
        <f>SUMIF('PESM Itutinga Piloes pt1'!$A:$A,(CONCATENATE('Resumo Unit'!$B6,".4")),'PESM Itutinga Piloes pt1'!$H:$H)</f>
        <v>0</v>
      </c>
      <c r="I6" s="116">
        <f>SUMIF('PESM Itutinga Piloes pt1'!$A:$A,(CONCATENATE('Resumo Unit'!$B6,".5")),'PESM Itutinga Piloes pt1'!$H:$H)</f>
        <v>0</v>
      </c>
      <c r="J6" s="116">
        <f>SUMIF('PESM Itutinga Piloes pt1'!$A:$A,(CONCATENATE('Resumo Unit'!$B6,".6")),'PESM Itutinga Piloes pt1'!$H:$H)</f>
        <v>0</v>
      </c>
      <c r="K6" s="116">
        <f>SUMIF('PESM Itutinga Piloes pt1'!$A:$A,(CONCATENATE('Resumo Unit'!$B6,".7")),'PESM Itutinga Piloes pt1'!$H:$H)</f>
        <v>0</v>
      </c>
      <c r="L6" s="116">
        <f>SUMIF('PESM Itutinga Piloes pt1'!$A:$A,(CONCATENATE('Resumo Unit'!$B6,".8")),'PESM Itutinga Piloes pt1'!$H:$H)</f>
        <v>0</v>
      </c>
      <c r="M6" s="116">
        <f t="shared" si="0"/>
        <v>0</v>
      </c>
      <c r="N6" s="116">
        <f>M6*'calculo BDI'!C$36</f>
        <v>0</v>
      </c>
      <c r="O6" s="116">
        <f>(M6+N6)*'calculo BDI'!C$26</f>
        <v>0</v>
      </c>
      <c r="P6" s="117">
        <f t="shared" si="1"/>
        <v>0</v>
      </c>
      <c r="Q6" s="24"/>
      <c r="R6" s="24"/>
      <c r="S6" s="24"/>
      <c r="T6" s="24"/>
      <c r="U6" s="24"/>
      <c r="V6" s="24" t="e">
        <f>SUMIF(#REF!,'Resumo Unit'!B6,#REF!)</f>
        <v>#REF!</v>
      </c>
      <c r="W6" s="24"/>
      <c r="X6" s="24"/>
      <c r="Y6" s="24"/>
      <c r="Z6" s="24"/>
    </row>
    <row r="7" spans="1:26" ht="14.25" customHeight="1">
      <c r="A7" s="207"/>
      <c r="B7" s="113" t="s">
        <v>296</v>
      </c>
      <c r="C7" s="114" t="str">
        <f>VLOOKUP(B7,'PESM Itutinga Piloes pt1'!A:H,3,FALSE)</f>
        <v>EDIFICAÇÃO 4 - Gleba A04</v>
      </c>
      <c r="D7" s="114"/>
      <c r="E7" s="114">
        <f>SUMIF('PESM Itutinga Piloes pt1'!$A:$A,(CONCATENATE('Resumo Unit'!$B7,".1")),'PESM Itutinga Piloes pt1'!$H:$H)</f>
        <v>0</v>
      </c>
      <c r="F7" s="114">
        <f>SUMIF('PESM Itutinga Piloes pt1'!$A:$A,(CONCATENATE('Resumo Unit'!$B7,".2")),'PESM Itutinga Piloes pt1'!$H:$H)</f>
        <v>0</v>
      </c>
      <c r="G7" s="114">
        <f>SUMIF('PESM Itutinga Piloes pt1'!$A:$A,(CONCATENATE('Resumo Unit'!$B7,".3")),'PESM Itutinga Piloes pt1'!$H:$H)</f>
        <v>0</v>
      </c>
      <c r="H7" s="114">
        <f>SUMIF('PESM Itutinga Piloes pt1'!$A:$A,(CONCATENATE('Resumo Unit'!$B7,".4")),'PESM Itutinga Piloes pt1'!$H:$H)</f>
        <v>0</v>
      </c>
      <c r="I7" s="114">
        <f>SUMIF('PESM Itutinga Piloes pt1'!$A:$A,(CONCATENATE('Resumo Unit'!$B7,".5")),'PESM Itutinga Piloes pt1'!$H:$H)</f>
        <v>0</v>
      </c>
      <c r="J7" s="114">
        <f>SUMIF('PESM Itutinga Piloes pt1'!$A:$A,(CONCATENATE('Resumo Unit'!$B7,".6")),'PESM Itutinga Piloes pt1'!$H:$H)</f>
        <v>0</v>
      </c>
      <c r="K7" s="114">
        <f>SUMIF('PESM Itutinga Piloes pt1'!$A:$A,(CONCATENATE('Resumo Unit'!$B7,".7")),'PESM Itutinga Piloes pt1'!$H:$H)</f>
        <v>0</v>
      </c>
      <c r="L7" s="114">
        <f>SUMIF('PESM Itutinga Piloes pt1'!$A:$A,(CONCATENATE('Resumo Unit'!$B7,".8")),'PESM Itutinga Piloes pt1'!$H:$H)</f>
        <v>0</v>
      </c>
      <c r="M7" s="114">
        <f t="shared" si="0"/>
        <v>0</v>
      </c>
      <c r="N7" s="114">
        <f>M7*'calculo BDI'!C$36</f>
        <v>0</v>
      </c>
      <c r="O7" s="114">
        <f>(M7+N7)*'calculo BDI'!C$26</f>
        <v>0</v>
      </c>
      <c r="P7" s="115">
        <f t="shared" si="1"/>
        <v>0</v>
      </c>
      <c r="Q7" s="24"/>
      <c r="R7" s="24"/>
      <c r="S7" s="24"/>
      <c r="T7" s="24"/>
      <c r="U7" s="24"/>
      <c r="V7" s="24" t="e">
        <f>SUMIF(#REF!,'Resumo Unit'!B7,#REF!)</f>
        <v>#REF!</v>
      </c>
      <c r="W7" s="24"/>
      <c r="X7" s="24"/>
      <c r="Y7" s="24"/>
      <c r="Z7" s="24"/>
    </row>
    <row r="8" spans="1:26" ht="14.25" customHeight="1">
      <c r="A8" s="207"/>
      <c r="B8" s="59" t="s">
        <v>298</v>
      </c>
      <c r="C8" s="116" t="str">
        <f>VLOOKUP(B8,'PESM Itutinga Piloes pt1'!A:H,3,FALSE)</f>
        <v>EDIFICAÇÃO 5 - Gleba C29</v>
      </c>
      <c r="D8" s="116"/>
      <c r="E8" s="116">
        <f>SUMIF('PESM Itutinga Piloes pt1'!$A:$A,(CONCATENATE('Resumo Unit'!$B8,".1")),'PESM Itutinga Piloes pt1'!$H:$H)</f>
        <v>0</v>
      </c>
      <c r="F8" s="116">
        <f>SUMIF('PESM Itutinga Piloes pt1'!$A:$A,(CONCATENATE('Resumo Unit'!$B8,".2")),'PESM Itutinga Piloes pt1'!$H:$H)</f>
        <v>0</v>
      </c>
      <c r="G8" s="116">
        <f>SUMIF('PESM Itutinga Piloes pt1'!$A:$A,(CONCATENATE('Resumo Unit'!$B8,".3")),'PESM Itutinga Piloes pt1'!$H:$H)</f>
        <v>0</v>
      </c>
      <c r="H8" s="116">
        <f>SUMIF('PESM Itutinga Piloes pt1'!$A:$A,(CONCATENATE('Resumo Unit'!$B8,".4")),'PESM Itutinga Piloes pt1'!$H:$H)</f>
        <v>0</v>
      </c>
      <c r="I8" s="116">
        <f>SUMIF('PESM Itutinga Piloes pt1'!$A:$A,(CONCATENATE('Resumo Unit'!$B8,".5")),'PESM Itutinga Piloes pt1'!$H:$H)</f>
        <v>0</v>
      </c>
      <c r="J8" s="116">
        <f>SUMIF('PESM Itutinga Piloes pt1'!$A:$A,(CONCATENATE('Resumo Unit'!$B8,".6")),'PESM Itutinga Piloes pt1'!$H:$H)</f>
        <v>0</v>
      </c>
      <c r="K8" s="116">
        <f>SUMIF('PESM Itutinga Piloes pt1'!$A:$A,(CONCATENATE('Resumo Unit'!$B8,".7")),'PESM Itutinga Piloes pt1'!$H:$H)</f>
        <v>0</v>
      </c>
      <c r="L8" s="116">
        <f>SUMIF('PESM Itutinga Piloes pt1'!$A:$A,(CONCATENATE('Resumo Unit'!$B8,".8")),'PESM Itutinga Piloes pt1'!$H:$H)</f>
        <v>0</v>
      </c>
      <c r="M8" s="116">
        <f t="shared" si="0"/>
        <v>0</v>
      </c>
      <c r="N8" s="116">
        <f>M8*'calculo BDI'!C$36</f>
        <v>0</v>
      </c>
      <c r="O8" s="116">
        <f>(M8+N8)*'calculo BDI'!C$26</f>
        <v>0</v>
      </c>
      <c r="P8" s="117">
        <f t="shared" si="1"/>
        <v>0</v>
      </c>
      <c r="Q8" s="24"/>
      <c r="R8" s="24"/>
      <c r="S8" s="24"/>
      <c r="T8" s="24"/>
      <c r="U8" s="24"/>
      <c r="V8" s="24" t="e">
        <f>SUMIF(#REF!,'Resumo Unit'!B8,#REF!)</f>
        <v>#REF!</v>
      </c>
      <c r="W8" s="24"/>
      <c r="X8" s="24"/>
      <c r="Y8" s="24"/>
      <c r="Z8" s="24"/>
    </row>
    <row r="9" spans="1:26" ht="14.25" customHeight="1">
      <c r="A9" s="207"/>
      <c r="B9" s="113" t="s">
        <v>300</v>
      </c>
      <c r="C9" s="114" t="str">
        <f>VLOOKUP(B9,'PESM Itutinga Piloes pt1'!A:H,3,FALSE)</f>
        <v>EDIFICAÇÃO 6 - Gleba D02</v>
      </c>
      <c r="D9" s="114"/>
      <c r="E9" s="114">
        <f>SUMIF('PESM Itutinga Piloes pt1'!$A:$A,(CONCATENATE('Resumo Unit'!$B9,".1")),'PESM Itutinga Piloes pt1'!$H:$H)</f>
        <v>0</v>
      </c>
      <c r="F9" s="114">
        <f>SUMIF('PESM Itutinga Piloes pt1'!$A:$A,(CONCATENATE('Resumo Unit'!$B9,".2")),'PESM Itutinga Piloes pt1'!$H:$H)</f>
        <v>0</v>
      </c>
      <c r="G9" s="114">
        <f>SUMIF('PESM Itutinga Piloes pt1'!$A:$A,(CONCATENATE('Resumo Unit'!$B9,".3")),'PESM Itutinga Piloes pt1'!$H:$H)</f>
        <v>0</v>
      </c>
      <c r="H9" s="114">
        <f>SUMIF('PESM Itutinga Piloes pt1'!$A:$A,(CONCATENATE('Resumo Unit'!$B9,".4")),'PESM Itutinga Piloes pt1'!$H:$H)</f>
        <v>0</v>
      </c>
      <c r="I9" s="114">
        <f>SUMIF('PESM Itutinga Piloes pt1'!$A:$A,(CONCATENATE('Resumo Unit'!$B9,".5")),'PESM Itutinga Piloes pt1'!$H:$H)</f>
        <v>0</v>
      </c>
      <c r="J9" s="114">
        <f>SUMIF('PESM Itutinga Piloes pt1'!$A:$A,(CONCATENATE('Resumo Unit'!$B9,".6")),'PESM Itutinga Piloes pt1'!$H:$H)</f>
        <v>0</v>
      </c>
      <c r="K9" s="114">
        <f>SUMIF('PESM Itutinga Piloes pt1'!$A:$A,(CONCATENATE('Resumo Unit'!$B9,".7")),'PESM Itutinga Piloes pt1'!$H:$H)</f>
        <v>0</v>
      </c>
      <c r="L9" s="114">
        <f>SUMIF('PESM Itutinga Piloes pt1'!$A:$A,(CONCATENATE('Resumo Unit'!$B9,".8")),'PESM Itutinga Piloes pt1'!$H:$H)</f>
        <v>0</v>
      </c>
      <c r="M9" s="114">
        <f t="shared" si="0"/>
        <v>0</v>
      </c>
      <c r="N9" s="114">
        <f>M9*'calculo BDI'!C$36</f>
        <v>0</v>
      </c>
      <c r="O9" s="114">
        <f>(M9+N9)*'calculo BDI'!C$26</f>
        <v>0</v>
      </c>
      <c r="P9" s="115">
        <f t="shared" si="1"/>
        <v>0</v>
      </c>
      <c r="Q9" s="24"/>
      <c r="R9" s="24"/>
      <c r="S9" s="24"/>
      <c r="T9" s="24"/>
      <c r="U9" s="24"/>
      <c r="V9" s="24" t="e">
        <f>SUMIF(#REF!,'Resumo Unit'!B9,#REF!)</f>
        <v>#REF!</v>
      </c>
      <c r="W9" s="24"/>
      <c r="X9" s="24"/>
      <c r="Y9" s="24"/>
      <c r="Z9" s="24"/>
    </row>
    <row r="10" spans="1:26" ht="14.25" customHeight="1">
      <c r="A10" s="207"/>
      <c r="B10" s="59" t="s">
        <v>302</v>
      </c>
      <c r="C10" s="116" t="str">
        <f>VLOOKUP(B10,'PESM Itutinga Piloes pt1'!A:H,3,FALSE)</f>
        <v>EDIFICAÇÃO 7 - Gleba D03</v>
      </c>
      <c r="D10" s="116"/>
      <c r="E10" s="116">
        <f>SUMIF('PESM Itutinga Piloes pt1'!$A:$A,(CONCATENATE('Resumo Unit'!$B10,".1")),'PESM Itutinga Piloes pt1'!$H:$H)</f>
        <v>0</v>
      </c>
      <c r="F10" s="116">
        <f>SUMIF('PESM Itutinga Piloes pt1'!$A:$A,(CONCATENATE('Resumo Unit'!$B10,".2")),'PESM Itutinga Piloes pt1'!$H:$H)</f>
        <v>0</v>
      </c>
      <c r="G10" s="116">
        <f>SUMIF('PESM Itutinga Piloes pt1'!$A:$A,(CONCATENATE('Resumo Unit'!$B10,".3")),'PESM Itutinga Piloes pt1'!$H:$H)</f>
        <v>0</v>
      </c>
      <c r="H10" s="116">
        <f>SUMIF('PESM Itutinga Piloes pt1'!$A:$A,(CONCATENATE('Resumo Unit'!$B10,".4")),'PESM Itutinga Piloes pt1'!$H:$H)</f>
        <v>0</v>
      </c>
      <c r="I10" s="116">
        <f>SUMIF('PESM Itutinga Piloes pt1'!$A:$A,(CONCATENATE('Resumo Unit'!$B10,".5")),'PESM Itutinga Piloes pt1'!$H:$H)</f>
        <v>0</v>
      </c>
      <c r="J10" s="116">
        <f>SUMIF('PESM Itutinga Piloes pt1'!$A:$A,(CONCATENATE('Resumo Unit'!$B10,".6")),'PESM Itutinga Piloes pt1'!$H:$H)</f>
        <v>0</v>
      </c>
      <c r="K10" s="116">
        <f>SUMIF('PESM Itutinga Piloes pt1'!$A:$A,(CONCATENATE('Resumo Unit'!$B10,".7")),'PESM Itutinga Piloes pt1'!$H:$H)</f>
        <v>0</v>
      </c>
      <c r="L10" s="116">
        <f>SUMIF('PESM Itutinga Piloes pt1'!$A:$A,(CONCATENATE('Resumo Unit'!$B10,".8")),'PESM Itutinga Piloes pt1'!$H:$H)</f>
        <v>0</v>
      </c>
      <c r="M10" s="116">
        <f t="shared" si="0"/>
        <v>0</v>
      </c>
      <c r="N10" s="116">
        <f>M10*'calculo BDI'!C$36</f>
        <v>0</v>
      </c>
      <c r="O10" s="116">
        <f>(M10+N10)*'calculo BDI'!C$26</f>
        <v>0</v>
      </c>
      <c r="P10" s="117">
        <f t="shared" si="1"/>
        <v>0</v>
      </c>
      <c r="Q10" s="24"/>
      <c r="R10" s="24"/>
      <c r="S10" s="24"/>
      <c r="T10" s="24"/>
      <c r="U10" s="24"/>
      <c r="V10" s="24" t="e">
        <f>SUMIF(#REF!,'Resumo Unit'!B10,#REF!)</f>
        <v>#REF!</v>
      </c>
      <c r="W10" s="24"/>
      <c r="X10" s="24"/>
      <c r="Y10" s="24"/>
      <c r="Z10" s="24"/>
    </row>
    <row r="11" spans="1:26" ht="14.25" customHeight="1">
      <c r="A11" s="207"/>
      <c r="B11" s="113" t="s">
        <v>304</v>
      </c>
      <c r="C11" s="114" t="str">
        <f>VLOOKUP(B11,'PESM Itutinga Piloes pt1'!A:H,3,FALSE)</f>
        <v>EDIFICAÇÃO 8 - Gleba D06</v>
      </c>
      <c r="D11" s="114"/>
      <c r="E11" s="114">
        <f>SUMIF('PESM Itutinga Piloes pt1'!$A:$A,(CONCATENATE('Resumo Unit'!$B11,".1")),'PESM Itutinga Piloes pt1'!$H:$H)</f>
        <v>0</v>
      </c>
      <c r="F11" s="114">
        <f>SUMIF('PESM Itutinga Piloes pt1'!$A:$A,(CONCATENATE('Resumo Unit'!$B11,".2")),'PESM Itutinga Piloes pt1'!$H:$H)</f>
        <v>0</v>
      </c>
      <c r="G11" s="114">
        <f>SUMIF('PESM Itutinga Piloes pt1'!$A:$A,(CONCATENATE('Resumo Unit'!$B11,".3")),'PESM Itutinga Piloes pt1'!$H:$H)</f>
        <v>0</v>
      </c>
      <c r="H11" s="114">
        <f>SUMIF('PESM Itutinga Piloes pt1'!$A:$A,(CONCATENATE('Resumo Unit'!$B11,".4")),'PESM Itutinga Piloes pt1'!$H:$H)</f>
        <v>0</v>
      </c>
      <c r="I11" s="114">
        <f>SUMIF('PESM Itutinga Piloes pt1'!$A:$A,(CONCATENATE('Resumo Unit'!$B11,".5")),'PESM Itutinga Piloes pt1'!$H:$H)</f>
        <v>0</v>
      </c>
      <c r="J11" s="114">
        <f>SUMIF('PESM Itutinga Piloes pt1'!$A:$A,(CONCATENATE('Resumo Unit'!$B11,".6")),'PESM Itutinga Piloes pt1'!$H:$H)</f>
        <v>0</v>
      </c>
      <c r="K11" s="114">
        <f>SUMIF('PESM Itutinga Piloes pt1'!$A:$A,(CONCATENATE('Resumo Unit'!$B11,".7")),'PESM Itutinga Piloes pt1'!$H:$H)</f>
        <v>0</v>
      </c>
      <c r="L11" s="114">
        <f>SUMIF('PESM Itutinga Piloes pt1'!$A:$A,(CONCATENATE('Resumo Unit'!$B11,".8")),'PESM Itutinga Piloes pt1'!$H:$H)</f>
        <v>0</v>
      </c>
      <c r="M11" s="114">
        <f t="shared" si="0"/>
        <v>0</v>
      </c>
      <c r="N11" s="114">
        <f>M11*'calculo BDI'!C$36</f>
        <v>0</v>
      </c>
      <c r="O11" s="114">
        <f>(M11+N11)*'calculo BDI'!C$26</f>
        <v>0</v>
      </c>
      <c r="P11" s="115">
        <f t="shared" si="1"/>
        <v>0</v>
      </c>
      <c r="Q11" s="24"/>
      <c r="R11" s="24"/>
      <c r="S11" s="24"/>
      <c r="T11" s="24"/>
      <c r="U11" s="24"/>
      <c r="V11" s="24" t="e">
        <f>SUMIF(#REF!,'Resumo Unit'!B11,#REF!)</f>
        <v>#REF!</v>
      </c>
      <c r="W11" s="24"/>
      <c r="X11" s="24"/>
      <c r="Y11" s="24"/>
      <c r="Z11" s="24"/>
    </row>
    <row r="12" spans="1:26" ht="14.25" customHeight="1">
      <c r="A12" s="207"/>
      <c r="B12" s="59" t="s">
        <v>306</v>
      </c>
      <c r="C12" s="116" t="str">
        <f>VLOOKUP(B12,'PESM Itutinga Piloes pt1'!A:H,3,FALSE)</f>
        <v>EDIFICAÇÃO 9 - Gleba D07</v>
      </c>
      <c r="D12" s="116"/>
      <c r="E12" s="116">
        <f>SUMIF('PESM Itutinga Piloes pt1'!$A:$A,(CONCATENATE('Resumo Unit'!$B12,".1")),'PESM Itutinga Piloes pt1'!$H:$H)</f>
        <v>0</v>
      </c>
      <c r="F12" s="116">
        <f>SUMIF('PESM Itutinga Piloes pt1'!$A:$A,(CONCATENATE('Resumo Unit'!$B12,".2")),'PESM Itutinga Piloes pt1'!$H:$H)</f>
        <v>0</v>
      </c>
      <c r="G12" s="116">
        <f>SUMIF('PESM Itutinga Piloes pt1'!$A:$A,(CONCATENATE('Resumo Unit'!$B12,".3")),'PESM Itutinga Piloes pt1'!$H:$H)</f>
        <v>0</v>
      </c>
      <c r="H12" s="116">
        <f>SUMIF('PESM Itutinga Piloes pt1'!$A:$A,(CONCATENATE('Resumo Unit'!$B12,".4")),'PESM Itutinga Piloes pt1'!$H:$H)</f>
        <v>0</v>
      </c>
      <c r="I12" s="116">
        <f>SUMIF('PESM Itutinga Piloes pt1'!$A:$A,(CONCATENATE('Resumo Unit'!$B12,".5")),'PESM Itutinga Piloes pt1'!$H:$H)</f>
        <v>0</v>
      </c>
      <c r="J12" s="116">
        <f>SUMIF('PESM Itutinga Piloes pt1'!$A:$A,(CONCATENATE('Resumo Unit'!$B12,".6")),'PESM Itutinga Piloes pt1'!$H:$H)</f>
        <v>0</v>
      </c>
      <c r="K12" s="116">
        <f>SUMIF('PESM Itutinga Piloes pt1'!$A:$A,(CONCATENATE('Resumo Unit'!$B12,".7")),'PESM Itutinga Piloes pt1'!$H:$H)</f>
        <v>0</v>
      </c>
      <c r="L12" s="116">
        <f>SUMIF('PESM Itutinga Piloes pt1'!$A:$A,(CONCATENATE('Resumo Unit'!$B12,".8")),'PESM Itutinga Piloes pt1'!$H:$H)</f>
        <v>0</v>
      </c>
      <c r="M12" s="116">
        <f t="shared" si="0"/>
        <v>0</v>
      </c>
      <c r="N12" s="116">
        <f>M12*'calculo BDI'!C$36</f>
        <v>0</v>
      </c>
      <c r="O12" s="116">
        <f>(M12+N12)*'calculo BDI'!C$26</f>
        <v>0</v>
      </c>
      <c r="P12" s="117">
        <f t="shared" si="1"/>
        <v>0</v>
      </c>
      <c r="Q12" s="24"/>
      <c r="R12" s="24"/>
      <c r="S12" s="24"/>
      <c r="T12" s="24"/>
      <c r="U12" s="24"/>
      <c r="V12" s="24" t="e">
        <f>SUMIF(#REF!,'Resumo Unit'!B12,#REF!)</f>
        <v>#REF!</v>
      </c>
      <c r="W12" s="24"/>
      <c r="X12" s="24"/>
      <c r="Y12" s="24"/>
      <c r="Z12" s="24"/>
    </row>
    <row r="13" spans="1:26" ht="14.25" customHeight="1">
      <c r="A13" s="207"/>
      <c r="B13" s="113" t="s">
        <v>308</v>
      </c>
      <c r="C13" s="114" t="str">
        <f>VLOOKUP(B13,'PESM Itutinga Piloes pt1'!A:H,3,FALSE)</f>
        <v>EDIFICAÇÃO 10 - Gleba D10</v>
      </c>
      <c r="D13" s="114"/>
      <c r="E13" s="114">
        <f>SUMIF('PESM Itutinga Piloes pt1'!$A:$A,(CONCATENATE('Resumo Unit'!$B13,".1")),'PESM Itutinga Piloes pt1'!$H:$H)</f>
        <v>0</v>
      </c>
      <c r="F13" s="114">
        <f>SUMIF('PESM Itutinga Piloes pt1'!$A:$A,(CONCATENATE('Resumo Unit'!$B13,".2")),'PESM Itutinga Piloes pt1'!$H:$H)</f>
        <v>0</v>
      </c>
      <c r="G13" s="114">
        <f>SUMIF('PESM Itutinga Piloes pt1'!$A:$A,(CONCATENATE('Resumo Unit'!$B13,".3")),'PESM Itutinga Piloes pt1'!$H:$H)</f>
        <v>0</v>
      </c>
      <c r="H13" s="114">
        <f>SUMIF('PESM Itutinga Piloes pt1'!$A:$A,(CONCATENATE('Resumo Unit'!$B13,".4")),'PESM Itutinga Piloes pt1'!$H:$H)</f>
        <v>0</v>
      </c>
      <c r="I13" s="114">
        <f>SUMIF('PESM Itutinga Piloes pt1'!$A:$A,(CONCATENATE('Resumo Unit'!$B13,".5")),'PESM Itutinga Piloes pt1'!$H:$H)</f>
        <v>0</v>
      </c>
      <c r="J13" s="114">
        <f>SUMIF('PESM Itutinga Piloes pt1'!$A:$A,(CONCATENATE('Resumo Unit'!$B13,".6")),'PESM Itutinga Piloes pt1'!$H:$H)</f>
        <v>0</v>
      </c>
      <c r="K13" s="114">
        <f>SUMIF('PESM Itutinga Piloes pt1'!$A:$A,(CONCATENATE('Resumo Unit'!$B13,".7")),'PESM Itutinga Piloes pt1'!$H:$H)</f>
        <v>0</v>
      </c>
      <c r="L13" s="114">
        <f>SUMIF('PESM Itutinga Piloes pt1'!$A:$A,(CONCATENATE('Resumo Unit'!$B13,".8")),'PESM Itutinga Piloes pt1'!$H:$H)</f>
        <v>0</v>
      </c>
      <c r="M13" s="114">
        <f t="shared" si="0"/>
        <v>0</v>
      </c>
      <c r="N13" s="114">
        <f>M13*'calculo BDI'!C$36</f>
        <v>0</v>
      </c>
      <c r="O13" s="114">
        <f>(M13+N13)*'calculo BDI'!C$26</f>
        <v>0</v>
      </c>
      <c r="P13" s="115">
        <f t="shared" si="1"/>
        <v>0</v>
      </c>
      <c r="Q13" s="24"/>
      <c r="R13" s="24"/>
      <c r="S13" s="24"/>
      <c r="T13" s="24"/>
      <c r="U13" s="24"/>
      <c r="V13" s="24" t="e">
        <f>SUMIF(#REF!,'Resumo Unit'!B13,#REF!)</f>
        <v>#REF!</v>
      </c>
      <c r="W13" s="24"/>
      <c r="X13" s="24"/>
      <c r="Y13" s="24"/>
      <c r="Z13" s="24"/>
    </row>
    <row r="14" spans="1:26" ht="14.25" customHeight="1">
      <c r="A14" s="207"/>
      <c r="B14" s="59" t="s">
        <v>310</v>
      </c>
      <c r="C14" s="116" t="str">
        <f>VLOOKUP(B14,'PESM Itutinga Piloes pt1'!A:H,3,FALSE)</f>
        <v>EDIFICAÇÃO 11 - Gleba D11</v>
      </c>
      <c r="D14" s="116"/>
      <c r="E14" s="116">
        <f>SUMIF('PESM Itutinga Piloes pt1'!$A:$A,(CONCATENATE('Resumo Unit'!$B14,".1")),'PESM Itutinga Piloes pt1'!$H:$H)</f>
        <v>0</v>
      </c>
      <c r="F14" s="116">
        <f>SUMIF('PESM Itutinga Piloes pt1'!$A:$A,(CONCATENATE('Resumo Unit'!$B14,".2")),'PESM Itutinga Piloes pt1'!$H:$H)</f>
        <v>0</v>
      </c>
      <c r="G14" s="116">
        <f>SUMIF('PESM Itutinga Piloes pt1'!$A:$A,(CONCATENATE('Resumo Unit'!$B14,".3")),'PESM Itutinga Piloes pt1'!$H:$H)</f>
        <v>0</v>
      </c>
      <c r="H14" s="116">
        <f>SUMIF('PESM Itutinga Piloes pt1'!$A:$A,(CONCATENATE('Resumo Unit'!$B14,".4")),'PESM Itutinga Piloes pt1'!$H:$H)</f>
        <v>0</v>
      </c>
      <c r="I14" s="116">
        <f>SUMIF('PESM Itutinga Piloes pt1'!$A:$A,(CONCATENATE('Resumo Unit'!$B14,".5")),'PESM Itutinga Piloes pt1'!$H:$H)</f>
        <v>0</v>
      </c>
      <c r="J14" s="116">
        <f>SUMIF('PESM Itutinga Piloes pt1'!$A:$A,(CONCATENATE('Resumo Unit'!$B14,".6")),'PESM Itutinga Piloes pt1'!$H:$H)</f>
        <v>0</v>
      </c>
      <c r="K14" s="116">
        <f>SUMIF('PESM Itutinga Piloes pt1'!$A:$A,(CONCATENATE('Resumo Unit'!$B14,".7")),'PESM Itutinga Piloes pt1'!$H:$H)</f>
        <v>0</v>
      </c>
      <c r="L14" s="116">
        <f>SUMIF('PESM Itutinga Piloes pt1'!$A:$A,(CONCATENATE('Resumo Unit'!$B14,".8")),'PESM Itutinga Piloes pt1'!$H:$H)</f>
        <v>0</v>
      </c>
      <c r="M14" s="116">
        <f t="shared" si="0"/>
        <v>0</v>
      </c>
      <c r="N14" s="116">
        <f>M14*'calculo BDI'!C$36</f>
        <v>0</v>
      </c>
      <c r="O14" s="116">
        <f>(M14+N14)*'calculo BDI'!C$26</f>
        <v>0</v>
      </c>
      <c r="P14" s="117">
        <f t="shared" si="1"/>
        <v>0</v>
      </c>
      <c r="Q14" s="24"/>
      <c r="R14" s="24"/>
      <c r="S14" s="24"/>
      <c r="T14" s="24"/>
      <c r="U14" s="24"/>
      <c r="V14" s="24" t="e">
        <f>SUMIF(#REF!,'Resumo Unit'!B14,#REF!)</f>
        <v>#REF!</v>
      </c>
      <c r="W14" s="24"/>
      <c r="X14" s="24"/>
      <c r="Y14" s="24"/>
      <c r="Z14" s="24"/>
    </row>
    <row r="15" spans="1:26" ht="14.25" customHeight="1">
      <c r="A15" s="207"/>
      <c r="B15" s="113" t="s">
        <v>312</v>
      </c>
      <c r="C15" s="114" t="str">
        <f>VLOOKUP(B15,'PESM Itutinga Piloes pt1'!A:H,3,FALSE)</f>
        <v>EDIFICAÇÃO 12 - Gleba D12</v>
      </c>
      <c r="D15" s="114"/>
      <c r="E15" s="114">
        <f>SUMIF('PESM Itutinga Piloes pt1'!$A:$A,(CONCATENATE('Resumo Unit'!$B15,".1")),'PESM Itutinga Piloes pt1'!$H:$H)</f>
        <v>0</v>
      </c>
      <c r="F15" s="114">
        <f>SUMIF('PESM Itutinga Piloes pt1'!$A:$A,(CONCATENATE('Resumo Unit'!$B15,".2")),'PESM Itutinga Piloes pt1'!$H:$H)</f>
        <v>0</v>
      </c>
      <c r="G15" s="114">
        <f>SUMIF('PESM Itutinga Piloes pt1'!$A:$A,(CONCATENATE('Resumo Unit'!$B15,".3")),'PESM Itutinga Piloes pt1'!$H:$H)</f>
        <v>0</v>
      </c>
      <c r="H15" s="114">
        <f>SUMIF('PESM Itutinga Piloes pt1'!$A:$A,(CONCATENATE('Resumo Unit'!$B15,".4")),'PESM Itutinga Piloes pt1'!$H:$H)</f>
        <v>0</v>
      </c>
      <c r="I15" s="114">
        <f>SUMIF('PESM Itutinga Piloes pt1'!$A:$A,(CONCATENATE('Resumo Unit'!$B15,".5")),'PESM Itutinga Piloes pt1'!$H:$H)</f>
        <v>0</v>
      </c>
      <c r="J15" s="114">
        <f>SUMIF('PESM Itutinga Piloes pt1'!$A:$A,(CONCATENATE('Resumo Unit'!$B15,".6")),'PESM Itutinga Piloes pt1'!$H:$H)</f>
        <v>0</v>
      </c>
      <c r="K15" s="114">
        <f>SUMIF('PESM Itutinga Piloes pt1'!$A:$A,(CONCATENATE('Resumo Unit'!$B15,".7")),'PESM Itutinga Piloes pt1'!$H:$H)</f>
        <v>0</v>
      </c>
      <c r="L15" s="114">
        <f>SUMIF('PESM Itutinga Piloes pt1'!$A:$A,(CONCATENATE('Resumo Unit'!$B15,".8")),'PESM Itutinga Piloes pt1'!$H:$H)</f>
        <v>0</v>
      </c>
      <c r="M15" s="114">
        <f t="shared" si="0"/>
        <v>0</v>
      </c>
      <c r="N15" s="114">
        <f>M15*'calculo BDI'!C$36</f>
        <v>0</v>
      </c>
      <c r="O15" s="114">
        <f>(M15+N15)*'calculo BDI'!C$26</f>
        <v>0</v>
      </c>
      <c r="P15" s="115">
        <f t="shared" si="1"/>
        <v>0</v>
      </c>
      <c r="Q15" s="24"/>
      <c r="R15" s="24"/>
      <c r="S15" s="24"/>
      <c r="T15" s="24"/>
      <c r="U15" s="24"/>
      <c r="V15" s="24" t="e">
        <f>SUMIF(#REF!,'Resumo Unit'!B15,#REF!)</f>
        <v>#REF!</v>
      </c>
      <c r="W15" s="24"/>
      <c r="X15" s="24"/>
      <c r="Y15" s="24"/>
      <c r="Z15" s="24"/>
    </row>
    <row r="16" spans="1:26" ht="14.25" customHeight="1">
      <c r="A16" s="207"/>
      <c r="B16" s="59" t="s">
        <v>314</v>
      </c>
      <c r="C16" s="116" t="str">
        <f>VLOOKUP(B16,'PESM Itutinga Piloes pt1'!A:H,3,FALSE)</f>
        <v>EDIFICAÇÃO 13 - Gleba D13</v>
      </c>
      <c r="D16" s="116"/>
      <c r="E16" s="116">
        <f>SUMIF('PESM Itutinga Piloes pt1'!$A:$A,(CONCATENATE('Resumo Unit'!$B16,".1")),'PESM Itutinga Piloes pt1'!$H:$H)</f>
        <v>0</v>
      </c>
      <c r="F16" s="116">
        <f>SUMIF('PESM Itutinga Piloes pt1'!$A:$A,(CONCATENATE('Resumo Unit'!$B16,".2")),'PESM Itutinga Piloes pt1'!$H:$H)</f>
        <v>0</v>
      </c>
      <c r="G16" s="116">
        <f>SUMIF('PESM Itutinga Piloes pt1'!$A:$A,(CONCATENATE('Resumo Unit'!$B16,".3")),'PESM Itutinga Piloes pt1'!$H:$H)</f>
        <v>0</v>
      </c>
      <c r="H16" s="116">
        <f>SUMIF('PESM Itutinga Piloes pt1'!$A:$A,(CONCATENATE('Resumo Unit'!$B16,".4")),'PESM Itutinga Piloes pt1'!$H:$H)</f>
        <v>0</v>
      </c>
      <c r="I16" s="116">
        <f>SUMIF('PESM Itutinga Piloes pt1'!$A:$A,(CONCATENATE('Resumo Unit'!$B16,".5")),'PESM Itutinga Piloes pt1'!$H:$H)</f>
        <v>0</v>
      </c>
      <c r="J16" s="116">
        <f>SUMIF('PESM Itutinga Piloes pt1'!$A:$A,(CONCATENATE('Resumo Unit'!$B16,".6")),'PESM Itutinga Piloes pt1'!$H:$H)</f>
        <v>0</v>
      </c>
      <c r="K16" s="116">
        <f>SUMIF('PESM Itutinga Piloes pt1'!$A:$A,(CONCATENATE('Resumo Unit'!$B16,".7")),'PESM Itutinga Piloes pt1'!$H:$H)</f>
        <v>0</v>
      </c>
      <c r="L16" s="116">
        <f>SUMIF('PESM Itutinga Piloes pt1'!$A:$A,(CONCATENATE('Resumo Unit'!$B16,".8")),'PESM Itutinga Piloes pt1'!$H:$H)</f>
        <v>0</v>
      </c>
      <c r="M16" s="116">
        <f t="shared" si="0"/>
        <v>0</v>
      </c>
      <c r="N16" s="116">
        <f>M16*'calculo BDI'!C$36</f>
        <v>0</v>
      </c>
      <c r="O16" s="116">
        <f>(M16+N16)*'calculo BDI'!C$26</f>
        <v>0</v>
      </c>
      <c r="P16" s="117">
        <f t="shared" si="1"/>
        <v>0</v>
      </c>
      <c r="Q16" s="24"/>
      <c r="R16" s="24"/>
      <c r="S16" s="24"/>
      <c r="T16" s="24"/>
      <c r="U16" s="24"/>
      <c r="V16" s="24" t="e">
        <f>SUMIF(#REF!,'Resumo Unit'!B16,#REF!)</f>
        <v>#REF!</v>
      </c>
      <c r="W16" s="24"/>
      <c r="X16" s="24"/>
      <c r="Y16" s="24"/>
      <c r="Z16" s="24"/>
    </row>
    <row r="17" spans="1:26" ht="14.25" customHeight="1">
      <c r="A17" s="207"/>
      <c r="B17" s="113" t="s">
        <v>316</v>
      </c>
      <c r="C17" s="114" t="str">
        <f>VLOOKUP(B17,'PESM Itutinga Piloes pt1'!A:H,3,FALSE)</f>
        <v>EDIFICAÇÃO 14 - Gleba D16</v>
      </c>
      <c r="D17" s="114"/>
      <c r="E17" s="114">
        <f>SUMIF('PESM Itutinga Piloes pt1'!$A:$A,(CONCATENATE('Resumo Unit'!$B17,".1")),'PESM Itutinga Piloes pt1'!$H:$H)</f>
        <v>0</v>
      </c>
      <c r="F17" s="114">
        <f>SUMIF('PESM Itutinga Piloes pt1'!$A:$A,(CONCATENATE('Resumo Unit'!$B17,".2")),'PESM Itutinga Piloes pt1'!$H:$H)</f>
        <v>0</v>
      </c>
      <c r="G17" s="114">
        <f>SUMIF('PESM Itutinga Piloes pt1'!$A:$A,(CONCATENATE('Resumo Unit'!$B17,".3")),'PESM Itutinga Piloes pt1'!$H:$H)</f>
        <v>0</v>
      </c>
      <c r="H17" s="114">
        <f>SUMIF('PESM Itutinga Piloes pt1'!$A:$A,(CONCATENATE('Resumo Unit'!$B17,".4")),'PESM Itutinga Piloes pt1'!$H:$H)</f>
        <v>0</v>
      </c>
      <c r="I17" s="114">
        <f>SUMIF('PESM Itutinga Piloes pt1'!$A:$A,(CONCATENATE('Resumo Unit'!$B17,".5")),'PESM Itutinga Piloes pt1'!$H:$H)</f>
        <v>0</v>
      </c>
      <c r="J17" s="114">
        <f>SUMIF('PESM Itutinga Piloes pt1'!$A:$A,(CONCATENATE('Resumo Unit'!$B17,".6")),'PESM Itutinga Piloes pt1'!$H:$H)</f>
        <v>0</v>
      </c>
      <c r="K17" s="114">
        <f>SUMIF('PESM Itutinga Piloes pt1'!$A:$A,(CONCATENATE('Resumo Unit'!$B17,".7")),'PESM Itutinga Piloes pt1'!$H:$H)</f>
        <v>0</v>
      </c>
      <c r="L17" s="114">
        <f>SUMIF('PESM Itutinga Piloes pt1'!$A:$A,(CONCATENATE('Resumo Unit'!$B17,".8")),'PESM Itutinga Piloes pt1'!$H:$H)</f>
        <v>0</v>
      </c>
      <c r="M17" s="114">
        <f t="shared" si="0"/>
        <v>0</v>
      </c>
      <c r="N17" s="114">
        <f>M17*'calculo BDI'!C$36</f>
        <v>0</v>
      </c>
      <c r="O17" s="114">
        <f>(M17+N17)*'calculo BDI'!C$26</f>
        <v>0</v>
      </c>
      <c r="P17" s="115">
        <f t="shared" si="1"/>
        <v>0</v>
      </c>
      <c r="Q17" s="24"/>
      <c r="R17" s="24"/>
      <c r="S17" s="24"/>
      <c r="T17" s="24"/>
      <c r="U17" s="24"/>
      <c r="V17" s="24" t="e">
        <f>SUMIF(#REF!,'Resumo Unit'!B17,#REF!)</f>
        <v>#REF!</v>
      </c>
      <c r="W17" s="24"/>
      <c r="X17" s="24"/>
      <c r="Y17" s="24"/>
      <c r="Z17" s="24"/>
    </row>
    <row r="18" spans="1:26" ht="14.25" customHeight="1">
      <c r="A18" s="208"/>
      <c r="B18" s="59" t="s">
        <v>318</v>
      </c>
      <c r="C18" s="116" t="str">
        <f>VLOOKUP(B18,'PESM Itutinga Piloes pt1'!A:H,3,FALSE)</f>
        <v>EDIFICAÇÃO 15 - Gleba D17</v>
      </c>
      <c r="D18" s="116"/>
      <c r="E18" s="116">
        <f>SUMIF('PESM Itutinga Piloes pt1'!$A:$A,(CONCATENATE('Resumo Unit'!$B18,".1")),'PESM Itutinga Piloes pt1'!$H:$H)</f>
        <v>0</v>
      </c>
      <c r="F18" s="116">
        <f>SUMIF('PESM Itutinga Piloes pt1'!$A:$A,(CONCATENATE('Resumo Unit'!$B18,".2")),'PESM Itutinga Piloes pt1'!$H:$H)</f>
        <v>0</v>
      </c>
      <c r="G18" s="116">
        <f>SUMIF('PESM Itutinga Piloes pt1'!$A:$A,(CONCATENATE('Resumo Unit'!$B18,".3")),'PESM Itutinga Piloes pt1'!$H:$H)</f>
        <v>0</v>
      </c>
      <c r="H18" s="116">
        <f>SUMIF('PESM Itutinga Piloes pt1'!$A:$A,(CONCATENATE('Resumo Unit'!$B18,".4")),'PESM Itutinga Piloes pt1'!$H:$H)</f>
        <v>0</v>
      </c>
      <c r="I18" s="116">
        <f>SUMIF('PESM Itutinga Piloes pt1'!$A:$A,(CONCATENATE('Resumo Unit'!$B18,".5")),'PESM Itutinga Piloes pt1'!$H:$H)</f>
        <v>0</v>
      </c>
      <c r="J18" s="116">
        <f>SUMIF('PESM Itutinga Piloes pt1'!$A:$A,(CONCATENATE('Resumo Unit'!$B18,".6")),'PESM Itutinga Piloes pt1'!$H:$H)</f>
        <v>0</v>
      </c>
      <c r="K18" s="116">
        <f>SUMIF('PESM Itutinga Piloes pt1'!$A:$A,(CONCATENATE('Resumo Unit'!$B18,".7")),'PESM Itutinga Piloes pt1'!$H:$H)</f>
        <v>0</v>
      </c>
      <c r="L18" s="116">
        <f>SUMIF('PESM Itutinga Piloes pt1'!$A:$A,(CONCATENATE('Resumo Unit'!$B18,".8")),'PESM Itutinga Piloes pt1'!$H:$H)</f>
        <v>0</v>
      </c>
      <c r="M18" s="116">
        <f t="shared" si="0"/>
        <v>0</v>
      </c>
      <c r="N18" s="116">
        <f>M18*'calculo BDI'!C$36</f>
        <v>0</v>
      </c>
      <c r="O18" s="116">
        <f>(M18+N18)*'calculo BDI'!C$26</f>
        <v>0</v>
      </c>
      <c r="P18" s="117">
        <f t="shared" si="1"/>
        <v>0</v>
      </c>
      <c r="Q18" s="24"/>
      <c r="R18" s="24"/>
      <c r="S18" s="24"/>
      <c r="T18" s="24"/>
      <c r="U18" s="24"/>
      <c r="V18" s="24" t="e">
        <f>SUMIF(#REF!,'Resumo Unit'!B18,#REF!)</f>
        <v>#REF!</v>
      </c>
      <c r="W18" s="24"/>
      <c r="X18" s="24"/>
      <c r="Y18" s="24"/>
      <c r="Z18" s="24"/>
    </row>
    <row r="19" spans="1:26" ht="14.25" customHeight="1">
      <c r="A19" s="206" t="str">
        <f>'PESM Itutinga Piloes pt2'!C1</f>
        <v>PESM Itutinga Pilões pt.2</v>
      </c>
      <c r="B19" s="33" t="s">
        <v>277</v>
      </c>
      <c r="C19" s="118" t="str">
        <f>VLOOKUP(B19,'PESM Itutinga Piloes pt2'!A:H,3,FALSE)</f>
        <v>IMPLANTAÇÃO GERAL</v>
      </c>
      <c r="D19" s="118">
        <f>SUMIF('PESM Itutinga Piloes pt2'!A:A,(CONCATENATE('Resumo Unit'!B19,".1")),'PESM Itutinga Piloes pt2'!H:H)</f>
        <v>0</v>
      </c>
      <c r="E19" s="118"/>
      <c r="F19" s="118"/>
      <c r="G19" s="118"/>
      <c r="H19" s="118"/>
      <c r="I19" s="118"/>
      <c r="J19" s="118"/>
      <c r="K19" s="118"/>
      <c r="L19" s="118"/>
      <c r="M19" s="118">
        <f t="shared" si="0"/>
        <v>0</v>
      </c>
      <c r="N19" s="118">
        <f>M19*'calculo BDI'!C$36</f>
        <v>0</v>
      </c>
      <c r="O19" s="118">
        <f>(M19+N19)*'calculo BDI'!C$26</f>
        <v>0</v>
      </c>
      <c r="P19" s="119">
        <f t="shared" si="1"/>
        <v>0</v>
      </c>
      <c r="Q19" s="24"/>
      <c r="R19" s="24"/>
      <c r="S19" s="24"/>
      <c r="T19" s="24"/>
      <c r="U19" s="24"/>
      <c r="V19" s="24" t="e">
        <f>SUMIF(#REF!,'Resumo Unit'!B19,#REF!)</f>
        <v>#REF!</v>
      </c>
      <c r="W19" s="24"/>
      <c r="X19" s="24"/>
      <c r="Y19" s="24"/>
      <c r="Z19" s="24"/>
    </row>
    <row r="20" spans="1:26" ht="14.25" customHeight="1">
      <c r="A20" s="207"/>
      <c r="B20" s="59" t="s">
        <v>321</v>
      </c>
      <c r="C20" s="116" t="str">
        <f>VLOOKUP(B20,'PESM Itutinga Piloes pt2'!A:H,3,FALSE)</f>
        <v>EDIFICAÇÃO 16 - Gleba D18</v>
      </c>
      <c r="D20" s="116"/>
      <c r="E20" s="116">
        <f>SUMIF('PESM Itutinga Piloes pt2'!$A:$A,(CONCATENATE('Resumo Unit'!$B20,".1")),'PESM Itutinga Piloes pt2'!$H:$H)</f>
        <v>0</v>
      </c>
      <c r="F20" s="116">
        <f>SUMIF('PESM Itutinga Piloes pt2'!$A:$A,(CONCATENATE('Resumo Unit'!$B20,".2")),'PESM Itutinga Piloes pt2'!$H:$H)</f>
        <v>0</v>
      </c>
      <c r="G20" s="116">
        <f>SUMIF('PESM Itutinga Piloes pt2'!$A:$A,(CONCATENATE('Resumo Unit'!$B20,".3")),'PESM Itutinga Piloes pt2'!$H:$H)</f>
        <v>0</v>
      </c>
      <c r="H20" s="116">
        <f>SUMIF('PESM Itutinga Piloes pt2'!$A:$A,(CONCATENATE('Resumo Unit'!$B20,".4")),'PESM Itutinga Piloes pt2'!$H:$H)</f>
        <v>0</v>
      </c>
      <c r="I20" s="116">
        <f>SUMIF('PESM Itutinga Piloes pt2'!$A:$A,(CONCATENATE('Resumo Unit'!$B20,".5")),'PESM Itutinga Piloes pt2'!$H:$H)</f>
        <v>0</v>
      </c>
      <c r="J20" s="116">
        <f>SUMIF('PESM Itutinga Piloes pt2'!$A:$A,(CONCATENATE('Resumo Unit'!$B20,".6")),'PESM Itutinga Piloes pt2'!$H:$H)</f>
        <v>0</v>
      </c>
      <c r="K20" s="116">
        <f>SUMIF('PESM Itutinga Piloes pt2'!$A:$A,(CONCATENATE('Resumo Unit'!$B20,".7")),'PESM Itutinga Piloes pt2'!$H:$H)</f>
        <v>0</v>
      </c>
      <c r="L20" s="116">
        <f>SUMIF('PESM Itutinga Piloes pt2'!$A:$A,(CONCATENATE('Resumo Unit'!$B20,".8")),'PESM Itutinga Piloes pt2'!$H:$H)</f>
        <v>0</v>
      </c>
      <c r="M20" s="116">
        <f t="shared" si="0"/>
        <v>0</v>
      </c>
      <c r="N20" s="116">
        <f>M20*'calculo BDI'!C$36</f>
        <v>0</v>
      </c>
      <c r="O20" s="116">
        <f>(M20+N20)*'calculo BDI'!C$26</f>
        <v>0</v>
      </c>
      <c r="P20" s="117">
        <f t="shared" si="1"/>
        <v>0</v>
      </c>
      <c r="Q20" s="24"/>
      <c r="R20" s="24"/>
      <c r="S20" s="24"/>
      <c r="T20" s="24"/>
      <c r="U20" s="24"/>
      <c r="V20" s="24" t="e">
        <f>SUMIF(#REF!,'Resumo Unit'!B20,#REF!)</f>
        <v>#REF!</v>
      </c>
      <c r="W20" s="24"/>
      <c r="X20" s="24"/>
      <c r="Y20" s="24"/>
      <c r="Z20" s="24"/>
    </row>
    <row r="21" spans="1:26" ht="14.25" customHeight="1">
      <c r="A21" s="207"/>
      <c r="B21" s="33" t="s">
        <v>331</v>
      </c>
      <c r="C21" s="118" t="str">
        <f>VLOOKUP(B21,'PESM Itutinga Piloes pt2'!A:H,3,FALSE)</f>
        <v>EDIFICAÇÃO 17 - Gleba D19</v>
      </c>
      <c r="D21" s="118"/>
      <c r="E21" s="118">
        <f>SUMIF('PESM Itutinga Piloes pt2'!$A:$A,(CONCATENATE('Resumo Unit'!$B21,".1")),'PESM Itutinga Piloes pt2'!$H:$H)</f>
        <v>0</v>
      </c>
      <c r="F21" s="118">
        <f>SUMIF('PESM Itutinga Piloes pt2'!$A:$A,(CONCATENATE('Resumo Unit'!$B21,".2")),'PESM Itutinga Piloes pt2'!$H:$H)</f>
        <v>0</v>
      </c>
      <c r="G21" s="118">
        <f>SUMIF('PESM Itutinga Piloes pt2'!$A:$A,(CONCATENATE('Resumo Unit'!$B21,".3")),'PESM Itutinga Piloes pt2'!$H:$H)</f>
        <v>0</v>
      </c>
      <c r="H21" s="118">
        <f>SUMIF('PESM Itutinga Piloes pt2'!$A:$A,(CONCATENATE('Resumo Unit'!$B21,".4")),'PESM Itutinga Piloes pt2'!$H:$H)</f>
        <v>0</v>
      </c>
      <c r="I21" s="118">
        <f>SUMIF('PESM Itutinga Piloes pt2'!$A:$A,(CONCATENATE('Resumo Unit'!$B21,".5")),'PESM Itutinga Piloes pt2'!$H:$H)</f>
        <v>0</v>
      </c>
      <c r="J21" s="118">
        <f>SUMIF('PESM Itutinga Piloes pt2'!$A:$A,(CONCATENATE('Resumo Unit'!$B21,".6")),'PESM Itutinga Piloes pt2'!$H:$H)</f>
        <v>0</v>
      </c>
      <c r="K21" s="118">
        <f>SUMIF('PESM Itutinga Piloes pt2'!$A:$A,(CONCATENATE('Resumo Unit'!$B21,".7")),'PESM Itutinga Piloes pt2'!$H:$H)</f>
        <v>0</v>
      </c>
      <c r="L21" s="118">
        <f>SUMIF('PESM Itutinga Piloes pt2'!$A:$A,(CONCATENATE('Resumo Unit'!$B21,".8")),'PESM Itutinga Piloes pt2'!$H:$H)</f>
        <v>0</v>
      </c>
      <c r="M21" s="118">
        <f t="shared" si="0"/>
        <v>0</v>
      </c>
      <c r="N21" s="118">
        <f>M21*'calculo BDI'!C$36</f>
        <v>0</v>
      </c>
      <c r="O21" s="118">
        <f>(M21+N21)*'calculo BDI'!C$26</f>
        <v>0</v>
      </c>
      <c r="P21" s="119">
        <f t="shared" si="1"/>
        <v>0</v>
      </c>
      <c r="Q21" s="24"/>
      <c r="R21" s="24"/>
      <c r="S21" s="24"/>
      <c r="T21" s="24"/>
      <c r="U21" s="24"/>
      <c r="V21" s="24" t="e">
        <f>SUMIF(#REF!,'Resumo Unit'!B21,#REF!)</f>
        <v>#REF!</v>
      </c>
      <c r="W21" s="24"/>
      <c r="X21" s="24"/>
      <c r="Y21" s="24"/>
      <c r="Z21" s="24"/>
    </row>
    <row r="22" spans="1:26" ht="14.25" customHeight="1">
      <c r="A22" s="207"/>
      <c r="B22" s="59" t="s">
        <v>333</v>
      </c>
      <c r="C22" s="116" t="str">
        <f>VLOOKUP(B22,'PESM Itutinga Piloes pt2'!A:H,3,FALSE)</f>
        <v>EDIFICAÇÃO 18 - Gleba D21</v>
      </c>
      <c r="D22" s="116"/>
      <c r="E22" s="116">
        <f>SUMIF('PESM Itutinga Piloes pt2'!$A:$A,(CONCATENATE('Resumo Unit'!$B22,".1")),'PESM Itutinga Piloes pt2'!$H:$H)</f>
        <v>0</v>
      </c>
      <c r="F22" s="116">
        <f>SUMIF('PESM Itutinga Piloes pt2'!$A:$A,(CONCATENATE('Resumo Unit'!$B22,".2")),'PESM Itutinga Piloes pt2'!$H:$H)</f>
        <v>0</v>
      </c>
      <c r="G22" s="116">
        <f>SUMIF('PESM Itutinga Piloes pt2'!$A:$A,(CONCATENATE('Resumo Unit'!$B22,".3")),'PESM Itutinga Piloes pt2'!$H:$H)</f>
        <v>0</v>
      </c>
      <c r="H22" s="116">
        <f>SUMIF('PESM Itutinga Piloes pt2'!$A:$A,(CONCATENATE('Resumo Unit'!$B22,".4")),'PESM Itutinga Piloes pt2'!$H:$H)</f>
        <v>0</v>
      </c>
      <c r="I22" s="116">
        <f>SUMIF('PESM Itutinga Piloes pt2'!$A:$A,(CONCATENATE('Resumo Unit'!$B22,".5")),'PESM Itutinga Piloes pt2'!$H:$H)</f>
        <v>0</v>
      </c>
      <c r="J22" s="116">
        <f>SUMIF('PESM Itutinga Piloes pt2'!$A:$A,(CONCATENATE('Resumo Unit'!$B22,".6")),'PESM Itutinga Piloes pt2'!$H:$H)</f>
        <v>0</v>
      </c>
      <c r="K22" s="116">
        <f>SUMIF('PESM Itutinga Piloes pt2'!$A:$A,(CONCATENATE('Resumo Unit'!$B22,".7")),'PESM Itutinga Piloes pt2'!$H:$H)</f>
        <v>0</v>
      </c>
      <c r="L22" s="116">
        <f>SUMIF('PESM Itutinga Piloes pt2'!$A:$A,(CONCATENATE('Resumo Unit'!$B22,".8")),'PESM Itutinga Piloes pt2'!$H:$H)</f>
        <v>0</v>
      </c>
      <c r="M22" s="116">
        <f t="shared" si="0"/>
        <v>0</v>
      </c>
      <c r="N22" s="116">
        <f>M22*'calculo BDI'!C$36</f>
        <v>0</v>
      </c>
      <c r="O22" s="116">
        <f>(M22+N22)*'calculo BDI'!C$26</f>
        <v>0</v>
      </c>
      <c r="P22" s="117">
        <f t="shared" si="1"/>
        <v>0</v>
      </c>
      <c r="Q22" s="24"/>
      <c r="R22" s="24"/>
      <c r="S22" s="24"/>
      <c r="T22" s="24"/>
      <c r="U22" s="24"/>
      <c r="V22" s="24" t="e">
        <f>SUMIF(#REF!,'Resumo Unit'!B22,#REF!)</f>
        <v>#REF!</v>
      </c>
      <c r="W22" s="24"/>
      <c r="X22" s="24"/>
      <c r="Y22" s="24"/>
      <c r="Z22" s="24"/>
    </row>
    <row r="23" spans="1:26" ht="14.25" customHeight="1">
      <c r="A23" s="207"/>
      <c r="B23" s="33" t="s">
        <v>335</v>
      </c>
      <c r="C23" s="118" t="str">
        <f>VLOOKUP(B23,'PESM Itutinga Piloes pt2'!A:H,3,FALSE)</f>
        <v>EDIFICAÇÃO 19 - Gleba D27</v>
      </c>
      <c r="D23" s="118"/>
      <c r="E23" s="118">
        <f>SUMIF('PESM Itutinga Piloes pt2'!$A:$A,(CONCATENATE('Resumo Unit'!$B23,".1")),'PESM Itutinga Piloes pt2'!$H:$H)</f>
        <v>0</v>
      </c>
      <c r="F23" s="118">
        <f>SUMIF('PESM Itutinga Piloes pt2'!$A:$A,(CONCATENATE('Resumo Unit'!$B23,".2")),'PESM Itutinga Piloes pt2'!$H:$H)</f>
        <v>0</v>
      </c>
      <c r="G23" s="118">
        <f>SUMIF('PESM Itutinga Piloes pt2'!$A:$A,(CONCATENATE('Resumo Unit'!$B23,".3")),'PESM Itutinga Piloes pt2'!$H:$H)</f>
        <v>0</v>
      </c>
      <c r="H23" s="118">
        <f>SUMIF('PESM Itutinga Piloes pt2'!$A:$A,(CONCATENATE('Resumo Unit'!$B23,".4")),'PESM Itutinga Piloes pt2'!$H:$H)</f>
        <v>0</v>
      </c>
      <c r="I23" s="118">
        <f>SUMIF('PESM Itutinga Piloes pt2'!$A:$A,(CONCATENATE('Resumo Unit'!$B23,".5")),'PESM Itutinga Piloes pt2'!$H:$H)</f>
        <v>0</v>
      </c>
      <c r="J23" s="118">
        <f>SUMIF('PESM Itutinga Piloes pt2'!$A:$A,(CONCATENATE('Resumo Unit'!$B23,".6")),'PESM Itutinga Piloes pt2'!$H:$H)</f>
        <v>0</v>
      </c>
      <c r="K23" s="118">
        <f>SUMIF('PESM Itutinga Piloes pt2'!$A:$A,(CONCATENATE('Resumo Unit'!$B23,".7")),'PESM Itutinga Piloes pt2'!$H:$H)</f>
        <v>0</v>
      </c>
      <c r="L23" s="118">
        <f>SUMIF('PESM Itutinga Piloes pt2'!$A:$A,(CONCATENATE('Resumo Unit'!$B23,".8")),'PESM Itutinga Piloes pt2'!$H:$H)</f>
        <v>0</v>
      </c>
      <c r="M23" s="118">
        <f t="shared" si="0"/>
        <v>0</v>
      </c>
      <c r="N23" s="118">
        <f>M23*'calculo BDI'!C$36</f>
        <v>0</v>
      </c>
      <c r="O23" s="118">
        <f>(M23+N23)*'calculo BDI'!C$26</f>
        <v>0</v>
      </c>
      <c r="P23" s="119">
        <f t="shared" si="1"/>
        <v>0</v>
      </c>
      <c r="Q23" s="24"/>
      <c r="R23" s="24"/>
      <c r="S23" s="24"/>
      <c r="T23" s="24"/>
      <c r="U23" s="24"/>
      <c r="V23" s="24" t="e">
        <f>SUMIF(#REF!,'Resumo Unit'!B23,#REF!)</f>
        <v>#REF!</v>
      </c>
      <c r="W23" s="24"/>
      <c r="X23" s="24"/>
      <c r="Y23" s="24"/>
      <c r="Z23" s="24"/>
    </row>
    <row r="24" spans="1:26" ht="14.25" customHeight="1">
      <c r="A24" s="207"/>
      <c r="B24" s="59" t="s">
        <v>337</v>
      </c>
      <c r="C24" s="116" t="str">
        <f>VLOOKUP(B24,'PESM Itutinga Piloes pt2'!A:H,3,FALSE)</f>
        <v>EDIFICAÇÃO 20 - Gleba D31</v>
      </c>
      <c r="D24" s="116"/>
      <c r="E24" s="116">
        <f>SUMIF('PESM Itutinga Piloes pt2'!$A:$A,(CONCATENATE('Resumo Unit'!$B24,".1")),'PESM Itutinga Piloes pt2'!$H:$H)</f>
        <v>0</v>
      </c>
      <c r="F24" s="116">
        <f>SUMIF('PESM Itutinga Piloes pt2'!$A:$A,(CONCATENATE('Resumo Unit'!$B24,".2")),'PESM Itutinga Piloes pt2'!$H:$H)</f>
        <v>0</v>
      </c>
      <c r="G24" s="116">
        <f>SUMIF('PESM Itutinga Piloes pt2'!$A:$A,(CONCATENATE('Resumo Unit'!$B24,".3")),'PESM Itutinga Piloes pt2'!$H:$H)</f>
        <v>0</v>
      </c>
      <c r="H24" s="116">
        <f>SUMIF('PESM Itutinga Piloes pt2'!$A:$A,(CONCATENATE('Resumo Unit'!$B24,".4")),'PESM Itutinga Piloes pt2'!$H:$H)</f>
        <v>0</v>
      </c>
      <c r="I24" s="116">
        <f>SUMIF('PESM Itutinga Piloes pt2'!$A:$A,(CONCATENATE('Resumo Unit'!$B24,".5")),'PESM Itutinga Piloes pt2'!$H:$H)</f>
        <v>0</v>
      </c>
      <c r="J24" s="116">
        <f>SUMIF('PESM Itutinga Piloes pt2'!$A:$A,(CONCATENATE('Resumo Unit'!$B24,".6")),'PESM Itutinga Piloes pt2'!$H:$H)</f>
        <v>0</v>
      </c>
      <c r="K24" s="116">
        <f>SUMIF('PESM Itutinga Piloes pt2'!$A:$A,(CONCATENATE('Resumo Unit'!$B24,".7")),'PESM Itutinga Piloes pt2'!$H:$H)</f>
        <v>0</v>
      </c>
      <c r="L24" s="116">
        <f>SUMIF('PESM Itutinga Piloes pt2'!$A:$A,(CONCATENATE('Resumo Unit'!$B24,".8")),'PESM Itutinga Piloes pt2'!$H:$H)</f>
        <v>0</v>
      </c>
      <c r="M24" s="116">
        <f t="shared" si="0"/>
        <v>0</v>
      </c>
      <c r="N24" s="116">
        <f>M24*'calculo BDI'!C$36</f>
        <v>0</v>
      </c>
      <c r="O24" s="116">
        <f>(M24+N24)*'calculo BDI'!C$26</f>
        <v>0</v>
      </c>
      <c r="P24" s="117">
        <f t="shared" si="1"/>
        <v>0</v>
      </c>
      <c r="Q24" s="24"/>
      <c r="R24" s="24"/>
      <c r="S24" s="24"/>
      <c r="T24" s="24"/>
      <c r="U24" s="24"/>
      <c r="V24" s="24" t="e">
        <f>SUMIF(#REF!,'Resumo Unit'!B24,#REF!)</f>
        <v>#REF!</v>
      </c>
      <c r="W24" s="24"/>
      <c r="X24" s="24"/>
      <c r="Y24" s="24"/>
      <c r="Z24" s="24"/>
    </row>
    <row r="25" spans="1:26" ht="14.25" customHeight="1">
      <c r="A25" s="207"/>
      <c r="B25" s="33" t="s">
        <v>339</v>
      </c>
      <c r="C25" s="118" t="str">
        <f>VLOOKUP(B25,'PESM Itutinga Piloes pt2'!A:H,3,FALSE)</f>
        <v>EDIFICAÇÃO 21 - Gleba D32</v>
      </c>
      <c r="D25" s="118"/>
      <c r="E25" s="118">
        <f>SUMIF('PESM Itutinga Piloes pt2'!$A:$A,(CONCATENATE('Resumo Unit'!$B25,".1")),'PESM Itutinga Piloes pt2'!$H:$H)</f>
        <v>0</v>
      </c>
      <c r="F25" s="118">
        <f>SUMIF('PESM Itutinga Piloes pt2'!$A:$A,(CONCATENATE('Resumo Unit'!$B25,".2")),'PESM Itutinga Piloes pt2'!$H:$H)</f>
        <v>0</v>
      </c>
      <c r="G25" s="118">
        <f>SUMIF('PESM Itutinga Piloes pt2'!$A:$A,(CONCATENATE('Resumo Unit'!$B25,".3")),'PESM Itutinga Piloes pt2'!$H:$H)</f>
        <v>0</v>
      </c>
      <c r="H25" s="118">
        <f>SUMIF('PESM Itutinga Piloes pt2'!$A:$A,(CONCATENATE('Resumo Unit'!$B25,".4")),'PESM Itutinga Piloes pt2'!$H:$H)</f>
        <v>0</v>
      </c>
      <c r="I25" s="118">
        <f>SUMIF('PESM Itutinga Piloes pt2'!$A:$A,(CONCATENATE('Resumo Unit'!$B25,".5")),'PESM Itutinga Piloes pt2'!$H:$H)</f>
        <v>0</v>
      </c>
      <c r="J25" s="118">
        <f>SUMIF('PESM Itutinga Piloes pt2'!$A:$A,(CONCATENATE('Resumo Unit'!$B25,".6")),'PESM Itutinga Piloes pt2'!$H:$H)</f>
        <v>0</v>
      </c>
      <c r="K25" s="118">
        <f>SUMIF('PESM Itutinga Piloes pt2'!$A:$A,(CONCATENATE('Resumo Unit'!$B25,".7")),'PESM Itutinga Piloes pt2'!$H:$H)</f>
        <v>0</v>
      </c>
      <c r="L25" s="118">
        <f>SUMIF('PESM Itutinga Piloes pt2'!$A:$A,(CONCATENATE('Resumo Unit'!$B25,".8")),'PESM Itutinga Piloes pt2'!$H:$H)</f>
        <v>0</v>
      </c>
      <c r="M25" s="118">
        <f t="shared" si="0"/>
        <v>0</v>
      </c>
      <c r="N25" s="118">
        <f>M25*'calculo BDI'!C$36</f>
        <v>0</v>
      </c>
      <c r="O25" s="118">
        <f>(M25+N25)*'calculo BDI'!C$26</f>
        <v>0</v>
      </c>
      <c r="P25" s="119">
        <f t="shared" si="1"/>
        <v>0</v>
      </c>
      <c r="Q25" s="24"/>
      <c r="R25" s="24"/>
      <c r="S25" s="24"/>
      <c r="T25" s="24"/>
      <c r="U25" s="24"/>
      <c r="V25" s="24" t="e">
        <f>SUMIF(#REF!,'Resumo Unit'!B25,#REF!)</f>
        <v>#REF!</v>
      </c>
      <c r="W25" s="24"/>
      <c r="X25" s="24"/>
      <c r="Y25" s="24"/>
      <c r="Z25" s="24"/>
    </row>
    <row r="26" spans="1:26" ht="14.25" customHeight="1">
      <c r="A26" s="207"/>
      <c r="B26" s="59" t="s">
        <v>341</v>
      </c>
      <c r="C26" s="116" t="str">
        <f>VLOOKUP(B26,'PESM Itutinga Piloes pt2'!A:H,3,FALSE)</f>
        <v>EDIFICAÇÃO 22 - Gleba D33</v>
      </c>
      <c r="D26" s="116"/>
      <c r="E26" s="116">
        <f>SUMIF('PESM Itutinga Piloes pt2'!$A:$A,(CONCATENATE('Resumo Unit'!$B26,".1")),'PESM Itutinga Piloes pt2'!$H:$H)</f>
        <v>0</v>
      </c>
      <c r="F26" s="116">
        <f>SUMIF('PESM Itutinga Piloes pt2'!$A:$A,(CONCATENATE('Resumo Unit'!$B26,".2")),'PESM Itutinga Piloes pt2'!$H:$H)</f>
        <v>0</v>
      </c>
      <c r="G26" s="116">
        <f>SUMIF('PESM Itutinga Piloes pt2'!$A:$A,(CONCATENATE('Resumo Unit'!$B26,".3")),'PESM Itutinga Piloes pt2'!$H:$H)</f>
        <v>0</v>
      </c>
      <c r="H26" s="116">
        <f>SUMIF('PESM Itutinga Piloes pt2'!$A:$A,(CONCATENATE('Resumo Unit'!$B26,".4")),'PESM Itutinga Piloes pt2'!$H:$H)</f>
        <v>0</v>
      </c>
      <c r="I26" s="116">
        <f>SUMIF('PESM Itutinga Piloes pt2'!$A:$A,(CONCATENATE('Resumo Unit'!$B26,".5")),'PESM Itutinga Piloes pt2'!$H:$H)</f>
        <v>0</v>
      </c>
      <c r="J26" s="116">
        <f>SUMIF('PESM Itutinga Piloes pt2'!$A:$A,(CONCATENATE('Resumo Unit'!$B26,".6")),'PESM Itutinga Piloes pt2'!$H:$H)</f>
        <v>0</v>
      </c>
      <c r="K26" s="116">
        <f>SUMIF('PESM Itutinga Piloes pt2'!$A:$A,(CONCATENATE('Resumo Unit'!$B26,".7")),'PESM Itutinga Piloes pt2'!$H:$H)</f>
        <v>0</v>
      </c>
      <c r="L26" s="116">
        <f>SUMIF('PESM Itutinga Piloes pt2'!$A:$A,(CONCATENATE('Resumo Unit'!$B26,".8")),'PESM Itutinga Piloes pt2'!$H:$H)</f>
        <v>0</v>
      </c>
      <c r="M26" s="116">
        <f t="shared" si="0"/>
        <v>0</v>
      </c>
      <c r="N26" s="116">
        <f>M26*'calculo BDI'!C$36</f>
        <v>0</v>
      </c>
      <c r="O26" s="116">
        <f>(M26+N26)*'calculo BDI'!C$26</f>
        <v>0</v>
      </c>
      <c r="P26" s="117">
        <f t="shared" si="1"/>
        <v>0</v>
      </c>
      <c r="Q26" s="24"/>
      <c r="R26" s="24"/>
      <c r="S26" s="24"/>
      <c r="T26" s="24"/>
      <c r="U26" s="24"/>
      <c r="V26" s="24" t="e">
        <f>SUMIF(#REF!,'Resumo Unit'!B26,#REF!)</f>
        <v>#REF!</v>
      </c>
      <c r="W26" s="24"/>
      <c r="X26" s="24"/>
      <c r="Y26" s="24"/>
      <c r="Z26" s="24"/>
    </row>
    <row r="27" spans="1:26" ht="14.25" customHeight="1">
      <c r="A27" s="207"/>
      <c r="B27" s="33" t="s">
        <v>343</v>
      </c>
      <c r="C27" s="118" t="str">
        <f>VLOOKUP(B27,'PESM Itutinga Piloes pt2'!A:H,3,FALSE)</f>
        <v>EDIFICAÇÃO 23 - Gleba F01</v>
      </c>
      <c r="D27" s="118"/>
      <c r="E27" s="118">
        <f>SUMIF('PESM Itutinga Piloes pt2'!$A:$A,(CONCATENATE('Resumo Unit'!$B27,".1")),'PESM Itutinga Piloes pt2'!$H:$H)</f>
        <v>0</v>
      </c>
      <c r="F27" s="118">
        <f>SUMIF('PESM Itutinga Piloes pt2'!$A:$A,(CONCATENATE('Resumo Unit'!$B27,".2")),'PESM Itutinga Piloes pt2'!$H:$H)</f>
        <v>0</v>
      </c>
      <c r="G27" s="118">
        <f>SUMIF('PESM Itutinga Piloes pt2'!$A:$A,(CONCATENATE('Resumo Unit'!$B27,".3")),'PESM Itutinga Piloes pt2'!$H:$H)</f>
        <v>0</v>
      </c>
      <c r="H27" s="118">
        <f>SUMIF('PESM Itutinga Piloes pt2'!$A:$A,(CONCATENATE('Resumo Unit'!$B27,".4")),'PESM Itutinga Piloes pt2'!$H:$H)</f>
        <v>0</v>
      </c>
      <c r="I27" s="118">
        <f>SUMIF('PESM Itutinga Piloes pt2'!$A:$A,(CONCATENATE('Resumo Unit'!$B27,".5")),'PESM Itutinga Piloes pt2'!$H:$H)</f>
        <v>0</v>
      </c>
      <c r="J27" s="118">
        <f>SUMIF('PESM Itutinga Piloes pt2'!$A:$A,(CONCATENATE('Resumo Unit'!$B27,".6")),'PESM Itutinga Piloes pt2'!$H:$H)</f>
        <v>0</v>
      </c>
      <c r="K27" s="118">
        <f>SUMIF('PESM Itutinga Piloes pt2'!$A:$A,(CONCATENATE('Resumo Unit'!$B27,".7")),'PESM Itutinga Piloes pt2'!$H:$H)</f>
        <v>0</v>
      </c>
      <c r="L27" s="118">
        <f>SUMIF('PESM Itutinga Piloes pt2'!$A:$A,(CONCATENATE('Resumo Unit'!$B27,".8")),'PESM Itutinga Piloes pt2'!$H:$H)</f>
        <v>0</v>
      </c>
      <c r="M27" s="118">
        <f t="shared" si="0"/>
        <v>0</v>
      </c>
      <c r="N27" s="118">
        <f>M27*'calculo BDI'!C$36</f>
        <v>0</v>
      </c>
      <c r="O27" s="118">
        <f>(M27+N27)*'calculo BDI'!C$26</f>
        <v>0</v>
      </c>
      <c r="P27" s="119">
        <f t="shared" si="1"/>
        <v>0</v>
      </c>
      <c r="Q27" s="24"/>
      <c r="R27" s="24"/>
      <c r="S27" s="24"/>
      <c r="T27" s="24"/>
      <c r="U27" s="24"/>
      <c r="V27" s="24" t="e">
        <f>SUMIF(#REF!,'Resumo Unit'!B27,#REF!)</f>
        <v>#REF!</v>
      </c>
      <c r="W27" s="24"/>
      <c r="X27" s="24"/>
      <c r="Y27" s="24"/>
      <c r="Z27" s="24"/>
    </row>
    <row r="28" spans="1:26" ht="14.25" customHeight="1">
      <c r="A28" s="207"/>
      <c r="B28" s="59" t="s">
        <v>345</v>
      </c>
      <c r="C28" s="116" t="str">
        <f>VLOOKUP(B28,'PESM Itutinga Piloes pt2'!A:H,3,FALSE)</f>
        <v>EDIFICAÇÃO 24 - Gleba F03</v>
      </c>
      <c r="D28" s="116"/>
      <c r="E28" s="116">
        <f>SUMIF('PESM Itutinga Piloes pt2'!$A:$A,(CONCATENATE('Resumo Unit'!$B28,".1")),'PESM Itutinga Piloes pt2'!$H:$H)</f>
        <v>0</v>
      </c>
      <c r="F28" s="116">
        <f>SUMIF('PESM Itutinga Piloes pt2'!$A:$A,(CONCATENATE('Resumo Unit'!$B28,".2")),'PESM Itutinga Piloes pt2'!$H:$H)</f>
        <v>0</v>
      </c>
      <c r="G28" s="116">
        <f>SUMIF('PESM Itutinga Piloes pt2'!$A:$A,(CONCATENATE('Resumo Unit'!$B28,".3")),'PESM Itutinga Piloes pt2'!$H:$H)</f>
        <v>0</v>
      </c>
      <c r="H28" s="116">
        <f>SUMIF('PESM Itutinga Piloes pt2'!$A:$A,(CONCATENATE('Resumo Unit'!$B28,".4")),'PESM Itutinga Piloes pt2'!$H:$H)</f>
        <v>0</v>
      </c>
      <c r="I28" s="116">
        <f>SUMIF('PESM Itutinga Piloes pt2'!$A:$A,(CONCATENATE('Resumo Unit'!$B28,".5")),'PESM Itutinga Piloes pt2'!$H:$H)</f>
        <v>0</v>
      </c>
      <c r="J28" s="116">
        <f>SUMIF('PESM Itutinga Piloes pt2'!$A:$A,(CONCATENATE('Resumo Unit'!$B28,".6")),'PESM Itutinga Piloes pt2'!$H:$H)</f>
        <v>0</v>
      </c>
      <c r="K28" s="116">
        <f>SUMIF('PESM Itutinga Piloes pt2'!$A:$A,(CONCATENATE('Resumo Unit'!$B28,".7")),'PESM Itutinga Piloes pt2'!$H:$H)</f>
        <v>0</v>
      </c>
      <c r="L28" s="116">
        <f>SUMIF('PESM Itutinga Piloes pt2'!$A:$A,(CONCATENATE('Resumo Unit'!$B28,".8")),'PESM Itutinga Piloes pt2'!$H:$H)</f>
        <v>0</v>
      </c>
      <c r="M28" s="116">
        <f t="shared" si="0"/>
        <v>0</v>
      </c>
      <c r="N28" s="116">
        <f>M28*'calculo BDI'!C$36</f>
        <v>0</v>
      </c>
      <c r="O28" s="116">
        <f>(M28+N28)*'calculo BDI'!C$26</f>
        <v>0</v>
      </c>
      <c r="P28" s="117">
        <f t="shared" si="1"/>
        <v>0</v>
      </c>
      <c r="Q28" s="24"/>
      <c r="R28" s="24"/>
      <c r="S28" s="24"/>
      <c r="T28" s="24"/>
      <c r="U28" s="24"/>
      <c r="V28" s="24" t="e">
        <f>SUMIF(#REF!,'Resumo Unit'!B28,#REF!)</f>
        <v>#REF!</v>
      </c>
      <c r="W28" s="24"/>
      <c r="X28" s="24"/>
      <c r="Y28" s="24"/>
      <c r="Z28" s="24"/>
    </row>
    <row r="29" spans="1:26" ht="14.25" customHeight="1">
      <c r="A29" s="207"/>
      <c r="B29" s="33" t="s">
        <v>347</v>
      </c>
      <c r="C29" s="118" t="str">
        <f>VLOOKUP(B29,'PESM Itutinga Piloes pt2'!A:H,3,FALSE)</f>
        <v>EDIFICAÇÃO 25 - Gleba F04</v>
      </c>
      <c r="D29" s="118"/>
      <c r="E29" s="118">
        <f>SUMIF('PESM Itutinga Piloes pt2'!$A:$A,(CONCATENATE('Resumo Unit'!$B29,".1")),'PESM Itutinga Piloes pt2'!$H:$H)</f>
        <v>0</v>
      </c>
      <c r="F29" s="118">
        <f>SUMIF('PESM Itutinga Piloes pt2'!$A:$A,(CONCATENATE('Resumo Unit'!$B29,".2")),'PESM Itutinga Piloes pt2'!$H:$H)</f>
        <v>0</v>
      </c>
      <c r="G29" s="118">
        <f>SUMIF('PESM Itutinga Piloes pt2'!$A:$A,(CONCATENATE('Resumo Unit'!$B29,".3")),'PESM Itutinga Piloes pt2'!$H:$H)</f>
        <v>0</v>
      </c>
      <c r="H29" s="118">
        <f>SUMIF('PESM Itutinga Piloes pt2'!$A:$A,(CONCATENATE('Resumo Unit'!$B29,".4")),'PESM Itutinga Piloes pt2'!$H:$H)</f>
        <v>0</v>
      </c>
      <c r="I29" s="118">
        <f>SUMIF('PESM Itutinga Piloes pt2'!$A:$A,(CONCATENATE('Resumo Unit'!$B29,".5")),'PESM Itutinga Piloes pt2'!$H:$H)</f>
        <v>0</v>
      </c>
      <c r="J29" s="118">
        <f>SUMIF('PESM Itutinga Piloes pt2'!$A:$A,(CONCATENATE('Resumo Unit'!$B29,".6")),'PESM Itutinga Piloes pt2'!$H:$H)</f>
        <v>0</v>
      </c>
      <c r="K29" s="118">
        <f>SUMIF('PESM Itutinga Piloes pt2'!$A:$A,(CONCATENATE('Resumo Unit'!$B29,".7")),'PESM Itutinga Piloes pt2'!$H:$H)</f>
        <v>0</v>
      </c>
      <c r="L29" s="118">
        <f>SUMIF('PESM Itutinga Piloes pt2'!$A:$A,(CONCATENATE('Resumo Unit'!$B29,".8")),'PESM Itutinga Piloes pt2'!$H:$H)</f>
        <v>0</v>
      </c>
      <c r="M29" s="118">
        <f t="shared" si="0"/>
        <v>0</v>
      </c>
      <c r="N29" s="118">
        <f>M29*'calculo BDI'!C$36</f>
        <v>0</v>
      </c>
      <c r="O29" s="118">
        <f>(M29+N29)*'calculo BDI'!C$26</f>
        <v>0</v>
      </c>
      <c r="P29" s="119">
        <f t="shared" si="1"/>
        <v>0</v>
      </c>
      <c r="Q29" s="24"/>
      <c r="R29" s="24"/>
      <c r="S29" s="24"/>
      <c r="T29" s="24"/>
      <c r="U29" s="24"/>
      <c r="V29" s="24" t="e">
        <f>SUMIF(#REF!,'Resumo Unit'!B29,#REF!)</f>
        <v>#REF!</v>
      </c>
      <c r="W29" s="24"/>
      <c r="X29" s="24"/>
      <c r="Y29" s="24"/>
      <c r="Z29" s="24"/>
    </row>
    <row r="30" spans="1:26" ht="14.25" customHeight="1">
      <c r="A30" s="207"/>
      <c r="B30" s="59" t="s">
        <v>349</v>
      </c>
      <c r="C30" s="116" t="str">
        <f>VLOOKUP(B30,'PESM Itutinga Piloes pt2'!A:H,3,FALSE)</f>
        <v>EDIFICAÇÃO 26 - Gleba F05</v>
      </c>
      <c r="D30" s="116"/>
      <c r="E30" s="116">
        <f>SUMIF('PESM Itutinga Piloes pt2'!$A:$A,(CONCATENATE('Resumo Unit'!$B30,".1")),'PESM Itutinga Piloes pt2'!$H:$H)</f>
        <v>0</v>
      </c>
      <c r="F30" s="116">
        <f>SUMIF('PESM Itutinga Piloes pt2'!$A:$A,(CONCATENATE('Resumo Unit'!$B30,".2")),'PESM Itutinga Piloes pt2'!$H:$H)</f>
        <v>0</v>
      </c>
      <c r="G30" s="116">
        <f>SUMIF('PESM Itutinga Piloes pt2'!$A:$A,(CONCATENATE('Resumo Unit'!$B30,".3")),'PESM Itutinga Piloes pt2'!$H:$H)</f>
        <v>0</v>
      </c>
      <c r="H30" s="116">
        <f>SUMIF('PESM Itutinga Piloes pt2'!$A:$A,(CONCATENATE('Resumo Unit'!$B30,".4")),'PESM Itutinga Piloes pt2'!$H:$H)</f>
        <v>0</v>
      </c>
      <c r="I30" s="116">
        <f>SUMIF('PESM Itutinga Piloes pt2'!$A:$A,(CONCATENATE('Resumo Unit'!$B30,".5")),'PESM Itutinga Piloes pt2'!$H:$H)</f>
        <v>0</v>
      </c>
      <c r="J30" s="116">
        <f>SUMIF('PESM Itutinga Piloes pt2'!$A:$A,(CONCATENATE('Resumo Unit'!$B30,".6")),'PESM Itutinga Piloes pt2'!$H:$H)</f>
        <v>0</v>
      </c>
      <c r="K30" s="116">
        <f>SUMIF('PESM Itutinga Piloes pt2'!$A:$A,(CONCATENATE('Resumo Unit'!$B30,".7")),'PESM Itutinga Piloes pt2'!$H:$H)</f>
        <v>0</v>
      </c>
      <c r="L30" s="116">
        <f>SUMIF('PESM Itutinga Piloes pt2'!$A:$A,(CONCATENATE('Resumo Unit'!$B30,".8")),'PESM Itutinga Piloes pt2'!$H:$H)</f>
        <v>0</v>
      </c>
      <c r="M30" s="116">
        <f t="shared" si="0"/>
        <v>0</v>
      </c>
      <c r="N30" s="116">
        <f>M30*'calculo BDI'!C$36</f>
        <v>0</v>
      </c>
      <c r="O30" s="116">
        <f>(M30+N30)*'calculo BDI'!C$26</f>
        <v>0</v>
      </c>
      <c r="P30" s="117">
        <f t="shared" si="1"/>
        <v>0</v>
      </c>
      <c r="Q30" s="24"/>
      <c r="R30" s="24"/>
      <c r="S30" s="24"/>
      <c r="T30" s="24"/>
      <c r="U30" s="24"/>
      <c r="V30" s="24" t="e">
        <f>SUMIF(#REF!,'Resumo Unit'!B30,#REF!)</f>
        <v>#REF!</v>
      </c>
      <c r="W30" s="24"/>
      <c r="X30" s="24"/>
      <c r="Y30" s="24"/>
      <c r="Z30" s="24"/>
    </row>
    <row r="31" spans="1:26" ht="14.25" customHeight="1">
      <c r="A31" s="207"/>
      <c r="B31" s="33" t="s">
        <v>351</v>
      </c>
      <c r="C31" s="118" t="str">
        <f>VLOOKUP(B31,'PESM Itutinga Piloes pt2'!A:H,3,FALSE)</f>
        <v>EDIFICAÇÃO 27 - Gleba F06</v>
      </c>
      <c r="D31" s="118"/>
      <c r="E31" s="118">
        <f>SUMIF('PESM Itutinga Piloes pt2'!$A:$A,(CONCATENATE('Resumo Unit'!$B31,".1")),'PESM Itutinga Piloes pt2'!$H:$H)</f>
        <v>0</v>
      </c>
      <c r="F31" s="118">
        <f>SUMIF('PESM Itutinga Piloes pt2'!$A:$A,(CONCATENATE('Resumo Unit'!$B31,".2")),'PESM Itutinga Piloes pt2'!$H:$H)</f>
        <v>0</v>
      </c>
      <c r="G31" s="118">
        <f>SUMIF('PESM Itutinga Piloes pt2'!$A:$A,(CONCATENATE('Resumo Unit'!$B31,".3")),'PESM Itutinga Piloes pt2'!$H:$H)</f>
        <v>0</v>
      </c>
      <c r="H31" s="118">
        <f>SUMIF('PESM Itutinga Piloes pt2'!$A:$A,(CONCATENATE('Resumo Unit'!$B31,".4")),'PESM Itutinga Piloes pt2'!$H:$H)</f>
        <v>0</v>
      </c>
      <c r="I31" s="118">
        <f>SUMIF('PESM Itutinga Piloes pt2'!$A:$A,(CONCATENATE('Resumo Unit'!$B31,".5")),'PESM Itutinga Piloes pt2'!$H:$H)</f>
        <v>0</v>
      </c>
      <c r="J31" s="118">
        <f>SUMIF('PESM Itutinga Piloes pt2'!$A:$A,(CONCATENATE('Resumo Unit'!$B31,".6")),'PESM Itutinga Piloes pt2'!$H:$H)</f>
        <v>0</v>
      </c>
      <c r="K31" s="118">
        <f>SUMIF('PESM Itutinga Piloes pt2'!$A:$A,(CONCATENATE('Resumo Unit'!$B31,".7")),'PESM Itutinga Piloes pt2'!$H:$H)</f>
        <v>0</v>
      </c>
      <c r="L31" s="118">
        <f>SUMIF('PESM Itutinga Piloes pt2'!$A:$A,(CONCATENATE('Resumo Unit'!$B31,".8")),'PESM Itutinga Piloes pt2'!$H:$H)</f>
        <v>0</v>
      </c>
      <c r="M31" s="118">
        <f t="shared" si="0"/>
        <v>0</v>
      </c>
      <c r="N31" s="118">
        <f>M31*'calculo BDI'!C$36</f>
        <v>0</v>
      </c>
      <c r="O31" s="118">
        <f>(M31+N31)*'calculo BDI'!C$26</f>
        <v>0</v>
      </c>
      <c r="P31" s="119">
        <f t="shared" si="1"/>
        <v>0</v>
      </c>
      <c r="Q31" s="24"/>
      <c r="R31" s="24"/>
      <c r="S31" s="24"/>
      <c r="T31" s="24"/>
      <c r="U31" s="24"/>
      <c r="V31" s="24" t="e">
        <f>SUMIF(#REF!,'Resumo Unit'!B31,#REF!)</f>
        <v>#REF!</v>
      </c>
      <c r="W31" s="24"/>
      <c r="X31" s="24"/>
      <c r="Y31" s="24"/>
      <c r="Z31" s="24"/>
    </row>
    <row r="32" spans="1:26" ht="14.25" customHeight="1">
      <c r="A32" s="208"/>
      <c r="B32" s="59" t="s">
        <v>353</v>
      </c>
      <c r="C32" s="116" t="str">
        <f>VLOOKUP(B32,'PESM Itutinga Piloes pt2'!A:H,3,FALSE)</f>
        <v>EDIFICAÇÃO 28 - G01</v>
      </c>
      <c r="D32" s="116"/>
      <c r="E32" s="116">
        <f>SUMIF('PESM Itutinga Piloes pt2'!$A:$A,(CONCATENATE('Resumo Unit'!$B32,".1")),'PESM Itutinga Piloes pt2'!$H:$H)</f>
        <v>0</v>
      </c>
      <c r="F32" s="116">
        <f>SUMIF('PESM Itutinga Piloes pt2'!$A:$A,(CONCATENATE('Resumo Unit'!$B32,".2")),'PESM Itutinga Piloes pt2'!$H:$H)</f>
        <v>0</v>
      </c>
      <c r="G32" s="116">
        <f>SUMIF('PESM Itutinga Piloes pt2'!$A:$A,(CONCATENATE('Resumo Unit'!$B32,".3")),'PESM Itutinga Piloes pt2'!$H:$H)</f>
        <v>0</v>
      </c>
      <c r="H32" s="116">
        <f>SUMIF('PESM Itutinga Piloes pt2'!$A:$A,(CONCATENATE('Resumo Unit'!$B32,".4")),'PESM Itutinga Piloes pt2'!$H:$H)</f>
        <v>0</v>
      </c>
      <c r="I32" s="116">
        <f>SUMIF('PESM Itutinga Piloes pt2'!$A:$A,(CONCATENATE('Resumo Unit'!$B32,".5")),'PESM Itutinga Piloes pt2'!$H:$H)</f>
        <v>0</v>
      </c>
      <c r="J32" s="116">
        <f>SUMIF('PESM Itutinga Piloes pt2'!$A:$A,(CONCATENATE('Resumo Unit'!$B32,".6")),'PESM Itutinga Piloes pt2'!$H:$H)</f>
        <v>0</v>
      </c>
      <c r="K32" s="116">
        <f>SUMIF('PESM Itutinga Piloes pt2'!$A:$A,(CONCATENATE('Resumo Unit'!$B32,".7")),'PESM Itutinga Piloes pt2'!$H:$H)</f>
        <v>0</v>
      </c>
      <c r="L32" s="116">
        <f>SUMIF('PESM Itutinga Piloes pt2'!$A:$A,(CONCATENATE('Resumo Unit'!$B32,".8")),'PESM Itutinga Piloes pt2'!$H:$H)</f>
        <v>0</v>
      </c>
      <c r="M32" s="116">
        <f t="shared" si="0"/>
        <v>0</v>
      </c>
      <c r="N32" s="116">
        <f>M32*'calculo BDI'!C$36</f>
        <v>0</v>
      </c>
      <c r="O32" s="116">
        <f>(M32+N32)*'calculo BDI'!C$26</f>
        <v>0</v>
      </c>
      <c r="P32" s="117">
        <f t="shared" si="1"/>
        <v>0</v>
      </c>
      <c r="Q32" s="24"/>
      <c r="R32" s="24"/>
      <c r="S32" s="24"/>
      <c r="T32" s="24"/>
      <c r="U32" s="24"/>
      <c r="V32" s="24" t="e">
        <f>SUMIF(#REF!,'Resumo Unit'!B32,#REF!)</f>
        <v>#REF!</v>
      </c>
      <c r="W32" s="24"/>
      <c r="X32" s="24"/>
      <c r="Y32" s="24"/>
      <c r="Z32" s="24"/>
    </row>
    <row r="33" spans="1:26" ht="14.25" customHeight="1">
      <c r="A33" s="12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21">
        <f t="shared" ref="M33:P33" si="2">SUM(M3:M32)</f>
        <v>0</v>
      </c>
      <c r="N33" s="121">
        <f t="shared" si="2"/>
        <v>0</v>
      </c>
      <c r="O33" s="121">
        <f t="shared" si="2"/>
        <v>0</v>
      </c>
      <c r="P33" s="122">
        <f t="shared" si="2"/>
        <v>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</sheetData>
  <mergeCells count="2">
    <mergeCell ref="A3:A18"/>
    <mergeCell ref="A19:A32"/>
  </mergeCells>
  <printOptions horizontalCentered="1"/>
  <pageMargins left="0.31496062992125984" right="0.31496062992125984" top="1.2204724409448819" bottom="1.1811023622047245" header="0" footer="0"/>
  <pageSetup paperSize="9" scale="71" orientation="landscape"/>
  <headerFooter>
    <oddHeader>&amp;C&amp;A - DEMOLIÇÕES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8"/>
  <sheetViews>
    <sheetView topLeftCell="C1" workbookViewId="0"/>
  </sheetViews>
  <sheetFormatPr defaultColWidth="14.42578125" defaultRowHeight="15" customHeight="1"/>
  <cols>
    <col min="1" max="1" width="29.28515625" customWidth="1"/>
    <col min="2" max="2" width="17.85546875" customWidth="1"/>
    <col min="3" max="3" width="19.7109375" customWidth="1"/>
    <col min="4" max="4" width="16.28515625" customWidth="1"/>
    <col min="5" max="7" width="11.7109375" customWidth="1"/>
    <col min="8" max="8" width="12.42578125" customWidth="1"/>
    <col min="11" max="11" width="14.7109375" customWidth="1"/>
    <col min="12" max="12" width="13.28515625" customWidth="1"/>
    <col min="13" max="13" width="13.140625" customWidth="1"/>
    <col min="14" max="14" width="18.28515625" customWidth="1"/>
    <col min="15" max="26" width="9.140625" customWidth="1"/>
  </cols>
  <sheetData>
    <row r="1" spans="1:26" ht="30" customHeight="1">
      <c r="A1" s="123" t="str">
        <f>'Resumo Unit'!A2</f>
        <v>UNIDADE DE CONSERVAÇÃO</v>
      </c>
      <c r="B1" s="124" t="str">
        <f>'Resumo Unit'!D2</f>
        <v>SERVIÇOS INICIAIS e PRELIMINARES</v>
      </c>
      <c r="C1" s="123" t="str">
        <f>'Resumo Unit'!E2</f>
        <v>DEMOLIÇÃO DE CALÇADAS E/OU CAMINHOS</v>
      </c>
      <c r="D1" s="123" t="str">
        <f>'Resumo Unit'!F2</f>
        <v>DEMOLIÇÃO DE MUROS E CERCAS</v>
      </c>
      <c r="E1" s="123" t="str">
        <f>'Resumo Unit'!G2</f>
        <v>COBERTURA</v>
      </c>
      <c r="F1" s="123" t="str">
        <f>'Resumo Unit'!H2</f>
        <v>PAREDES</v>
      </c>
      <c r="G1" s="123" t="str">
        <f>'Resumo Unit'!I2</f>
        <v>PISO E FUNDAÇÃO</v>
      </c>
      <c r="H1" s="123" t="str">
        <f>'Resumo Unit'!J2</f>
        <v>ESTRUTURAS DIVERSAS</v>
      </c>
      <c r="I1" s="123" t="str">
        <f>'Resumo Unit'!K2</f>
        <v>ACABAMENTOS DIVERSOS e OUTROS</v>
      </c>
      <c r="J1" s="123" t="str">
        <f>'Resumo Unit'!L2</f>
        <v>ENTULHO</v>
      </c>
      <c r="K1" s="123" t="str">
        <f>'Resumo Unit'!M2</f>
        <v>SUBTOTAL</v>
      </c>
      <c r="L1" s="123" t="str">
        <f>'Resumo Unit'!N2</f>
        <v>ADM Local - 8,87%</v>
      </c>
      <c r="M1" s="123" t="str">
        <f>'Resumo Unit'!O2</f>
        <v>BDI - 22,96%</v>
      </c>
      <c r="N1" s="125" t="str">
        <f>'Resumo Unit'!P2</f>
        <v>TOTAL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 customHeight="1">
      <c r="A2" s="126" t="str">
        <f>'Resumo Unit'!A3</f>
        <v>PESM Itutinga Pilões pt.1</v>
      </c>
      <c r="B2" s="127">
        <f>SUM('Resumo Unit'!D3:D18)</f>
        <v>0</v>
      </c>
      <c r="C2" s="127">
        <f>SUM('Resumo Unit'!E3:E18)</f>
        <v>0</v>
      </c>
      <c r="D2" s="127">
        <f>SUM('Resumo Unit'!F3:F18)</f>
        <v>0</v>
      </c>
      <c r="E2" s="127">
        <f>SUM('Resumo Unit'!G3:G18)</f>
        <v>0</v>
      </c>
      <c r="F2" s="127">
        <f>SUM('Resumo Unit'!H3:H18)</f>
        <v>0</v>
      </c>
      <c r="G2" s="127">
        <f>SUM('Resumo Unit'!I3:I18)</f>
        <v>0</v>
      </c>
      <c r="H2" s="127">
        <f>SUM('Resumo Unit'!J3:J18)</f>
        <v>0</v>
      </c>
      <c r="I2" s="127">
        <f>SUM('Resumo Unit'!K3:K18)</f>
        <v>0</v>
      </c>
      <c r="J2" s="127">
        <f>SUM('Resumo Unit'!L3:L18)</f>
        <v>0</v>
      </c>
      <c r="K2" s="127">
        <f t="shared" ref="K2:K3" si="0">SUM(B2:J2)</f>
        <v>0</v>
      </c>
      <c r="L2" s="127">
        <f>K2*'calculo BDI'!C$36</f>
        <v>0</v>
      </c>
      <c r="M2" s="127">
        <f>(K2+L2)*'calculo BDI'!C$26</f>
        <v>0</v>
      </c>
      <c r="N2" s="127">
        <f t="shared" ref="N2:N3" si="1">SUM(K2:M2)</f>
        <v>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25" customHeight="1">
      <c r="A3" s="126" t="str">
        <f>'Resumo Unit'!A19</f>
        <v>PESM Itutinga Pilões pt.2</v>
      </c>
      <c r="B3" s="127">
        <f>SUM('Resumo Unit'!D19:D32)</f>
        <v>0</v>
      </c>
      <c r="C3" s="127">
        <f>SUM('Resumo Unit'!E19:E32)</f>
        <v>0</v>
      </c>
      <c r="D3" s="127">
        <f>SUM('Resumo Unit'!F19:F32)</f>
        <v>0</v>
      </c>
      <c r="E3" s="127">
        <f>SUM('Resumo Unit'!G19:G32)</f>
        <v>0</v>
      </c>
      <c r="F3" s="127">
        <f>SUM('Resumo Unit'!H19:H32)</f>
        <v>0</v>
      </c>
      <c r="G3" s="127">
        <f>SUM('Resumo Unit'!I19:I32)</f>
        <v>0</v>
      </c>
      <c r="H3" s="127">
        <f>SUM('Resumo Unit'!J19:J32)</f>
        <v>0</v>
      </c>
      <c r="I3" s="127">
        <f>SUM('Resumo Unit'!K19:K32)</f>
        <v>0</v>
      </c>
      <c r="J3" s="127">
        <f>SUM('Resumo Unit'!L19:L32)</f>
        <v>0</v>
      </c>
      <c r="K3" s="127">
        <f t="shared" si="0"/>
        <v>0</v>
      </c>
      <c r="L3" s="127">
        <f>K3*'calculo BDI'!C$36</f>
        <v>0</v>
      </c>
      <c r="M3" s="127">
        <f>(K3+L3)*'calculo BDI'!C$26</f>
        <v>0</v>
      </c>
      <c r="N3" s="127">
        <f t="shared" si="1"/>
        <v>0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4.25" customHeight="1">
      <c r="A4" s="24"/>
      <c r="B4" s="24"/>
      <c r="C4" s="24"/>
      <c r="D4" s="24"/>
      <c r="E4" s="24"/>
      <c r="F4" s="24"/>
      <c r="G4" s="24"/>
      <c r="H4" s="24"/>
      <c r="I4" s="209" t="s">
        <v>363</v>
      </c>
      <c r="J4" s="170"/>
      <c r="K4" s="128">
        <f t="shared" ref="K4:N4" si="2">SUM(K2:K3)</f>
        <v>0</v>
      </c>
      <c r="L4" s="128">
        <f t="shared" si="2"/>
        <v>0</v>
      </c>
      <c r="M4" s="128">
        <f t="shared" si="2"/>
        <v>0</v>
      </c>
      <c r="N4" s="129">
        <f t="shared" si="2"/>
        <v>0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</sheetData>
  <mergeCells count="1">
    <mergeCell ref="I4:J4"/>
  </mergeCells>
  <pageMargins left="0.51181102362204722" right="0.11811023622047245" top="0.86614173228346458" bottom="1.1811023622047245" header="0" footer="0"/>
  <pageSetup paperSize="9" scale="56" orientation="landscape"/>
  <headerFooter>
    <oddHeader>&amp;CDEMOLIÇÃO 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sqref="A1:C1"/>
    </sheetView>
  </sheetViews>
  <sheetFormatPr defaultColWidth="14.42578125" defaultRowHeight="15" customHeight="1"/>
  <cols>
    <col min="1" max="1" width="6.140625" customWidth="1"/>
    <col min="2" max="2" width="62.7109375" customWidth="1"/>
    <col min="3" max="3" width="12.140625" customWidth="1"/>
    <col min="4" max="26" width="9.140625" customWidth="1"/>
  </cols>
  <sheetData>
    <row r="1" spans="1:26" ht="14.25" customHeight="1">
      <c r="A1" s="217" t="s">
        <v>364</v>
      </c>
      <c r="B1" s="211"/>
      <c r="C1" s="211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30" customHeight="1">
      <c r="A2" s="215" t="s">
        <v>365</v>
      </c>
      <c r="B2" s="211"/>
      <c r="C2" s="211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4.5" customHeight="1">
      <c r="A3" s="131"/>
      <c r="B3" s="131"/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" customHeight="1">
      <c r="A4" s="218" t="s">
        <v>366</v>
      </c>
      <c r="B4" s="211"/>
      <c r="C4" s="132">
        <v>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15" customHeight="1">
      <c r="A5" s="131"/>
      <c r="B5" s="131"/>
      <c r="C5" s="131"/>
      <c r="D5" s="210"/>
      <c r="E5" s="21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6" ht="15" customHeight="1">
      <c r="A6" s="133" t="s">
        <v>4</v>
      </c>
      <c r="B6" s="133" t="s">
        <v>273</v>
      </c>
      <c r="C6" s="133" t="s">
        <v>367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4.25" customHeight="1">
      <c r="A7" s="134">
        <v>1</v>
      </c>
      <c r="B7" s="135" t="s">
        <v>368</v>
      </c>
      <c r="C7" s="136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4.25" customHeight="1">
      <c r="A8" s="137" t="s">
        <v>2</v>
      </c>
      <c r="B8" s="138" t="s">
        <v>369</v>
      </c>
      <c r="C8" s="139">
        <f>IF(C$4=1,6.16/100,IF(C$4=2,7.4/100,IF(C$4=3,8.96/100,"")))</f>
        <v>7.400000000000001E-2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4.25" customHeight="1">
      <c r="A9" s="134">
        <v>2</v>
      </c>
      <c r="B9" s="135" t="s">
        <v>370</v>
      </c>
      <c r="C9" s="136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ht="14.25" customHeight="1">
      <c r="A10" s="137" t="s">
        <v>67</v>
      </c>
      <c r="B10" s="138" t="s">
        <v>371</v>
      </c>
      <c r="C10" s="139">
        <f>IF(C$4=1,3/100,IF(C$4=2,4/100,IF(C$4=3,5.5/100,"")))</f>
        <v>0.04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ht="14.25" customHeight="1">
      <c r="A11" s="134">
        <v>3</v>
      </c>
      <c r="B11" s="135" t="s">
        <v>372</v>
      </c>
      <c r="C11" s="136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ht="14.25" customHeight="1">
      <c r="A12" s="137" t="s">
        <v>373</v>
      </c>
      <c r="B12" s="138" t="s">
        <v>374</v>
      </c>
      <c r="C12" s="139">
        <f>IF(C$4=1,0.59/100,IF(C$4=2,1.23/100,IF(C$4=3,1.39/100,"")))</f>
        <v>1.23E-2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14.25" customHeight="1">
      <c r="A13" s="134">
        <v>4</v>
      </c>
      <c r="B13" s="135" t="s">
        <v>375</v>
      </c>
      <c r="C13" s="136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4.25" customHeight="1">
      <c r="A14" s="137" t="s">
        <v>376</v>
      </c>
      <c r="B14" s="138" t="s">
        <v>377</v>
      </c>
      <c r="C14" s="139">
        <f>IF(C$4=1,0.8/100,IF(C$4=2,0.8/100,IF(C$4=3,1/100,"")))</f>
        <v>8.0000000000000002E-3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4.25" customHeight="1">
      <c r="A15" s="137" t="s">
        <v>378</v>
      </c>
      <c r="B15" s="138" t="s">
        <v>379</v>
      </c>
      <c r="C15" s="139">
        <f>IF(C$4=1,0.97/100,IF(C$4=2,1.27/100,IF(C$4=3,1.27/100,"")))</f>
        <v>1.2699999999999999E-2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4.25" customHeight="1">
      <c r="A16" s="134">
        <v>5</v>
      </c>
      <c r="B16" s="135" t="s">
        <v>380</v>
      </c>
      <c r="C16" s="136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14.25" customHeight="1">
      <c r="A17" s="137" t="s">
        <v>381</v>
      </c>
      <c r="B17" s="138" t="s">
        <v>382</v>
      </c>
      <c r="C17" s="140">
        <v>0.03</v>
      </c>
      <c r="D17" s="130"/>
      <c r="E17" s="130" t="s">
        <v>383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4.25" customHeight="1">
      <c r="A18" s="137" t="s">
        <v>384</v>
      </c>
      <c r="B18" s="138" t="s">
        <v>385</v>
      </c>
      <c r="C18" s="139">
        <v>6.4999999999999997E-3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14.25" customHeight="1">
      <c r="A19" s="137" t="s">
        <v>386</v>
      </c>
      <c r="B19" s="138" t="s">
        <v>387</v>
      </c>
      <c r="C19" s="139">
        <v>0.03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14.25" customHeight="1">
      <c r="A20" s="137" t="s">
        <v>388</v>
      </c>
      <c r="B20" s="138" t="s">
        <v>389</v>
      </c>
      <c r="C20" s="138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14.25" customHeight="1">
      <c r="A21" s="141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ht="14.25" customHeight="1">
      <c r="A22" s="141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14.25" customHeight="1">
      <c r="A23" s="212" t="s">
        <v>390</v>
      </c>
      <c r="B23" s="211"/>
      <c r="C23" s="211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4.25" customHeight="1">
      <c r="A24" s="212" t="s">
        <v>391</v>
      </c>
      <c r="B24" s="211"/>
      <c r="C24" s="211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4.25" customHeight="1">
      <c r="A25" s="141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4.25" customHeight="1">
      <c r="A26" s="213" t="s">
        <v>392</v>
      </c>
      <c r="B26" s="169"/>
      <c r="C26" s="142">
        <f>ROUNDUP((((1+(C10+SUM(C14:C15)))*(1+C12)+(1*C8))/(1-SUM(C17:C20)))-1,4)</f>
        <v>0.2296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4.25" customHeight="1">
      <c r="A27" s="141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14.25" customHeight="1">
      <c r="A28" s="141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14.25" customHeight="1">
      <c r="A29" s="141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ht="14.25" customHeight="1">
      <c r="A30" s="141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14.25" customHeight="1">
      <c r="A31" s="214" t="s">
        <v>393</v>
      </c>
      <c r="B31" s="211"/>
      <c r="C31" s="211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ht="30" customHeight="1">
      <c r="A32" s="215" t="s">
        <v>394</v>
      </c>
      <c r="B32" s="211"/>
      <c r="C32" s="211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4.25" customHeight="1">
      <c r="A33" s="143"/>
      <c r="B33" s="143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14.25" customHeight="1">
      <c r="A34" s="212" t="s">
        <v>395</v>
      </c>
      <c r="B34" s="211"/>
      <c r="C34" s="144">
        <v>3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14.25" customHeight="1">
      <c r="A35" s="141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4.25" customHeight="1">
      <c r="A36" s="216" t="s">
        <v>396</v>
      </c>
      <c r="B36" s="169"/>
      <c r="C36" s="145">
        <f>IF(C34&lt;&gt;"",IF(C34=1,3.49,(IF(C34=2,6.23,IF(C34=3,8.87,""))))/100,"")</f>
        <v>8.8699999999999987E-2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14.25" customHeight="1">
      <c r="A37" s="141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14.25" customHeight="1">
      <c r="A38" s="141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4.25" customHeight="1">
      <c r="A39" s="141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ht="14.25" customHeight="1">
      <c r="A40" s="141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14.25" customHeight="1">
      <c r="A41" s="141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4.25" customHeight="1">
      <c r="A42" s="141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4.25" customHeight="1">
      <c r="A43" s="141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14.25" customHeight="1">
      <c r="A44" s="141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14.25" customHeight="1">
      <c r="A45" s="141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14.25" customHeight="1">
      <c r="A46" s="141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14.25" customHeight="1">
      <c r="A47" s="141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14.25" customHeight="1">
      <c r="A48" s="141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14.25" customHeight="1">
      <c r="A49" s="141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14.25" customHeight="1">
      <c r="A50" s="141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4.25" customHeight="1">
      <c r="A51" s="141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14.25" customHeight="1">
      <c r="A52" s="141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14.25" customHeight="1">
      <c r="A53" s="141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14.25" customHeight="1">
      <c r="A54" s="141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14.25" customHeight="1">
      <c r="A55" s="141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14.25" customHeight="1">
      <c r="A56" s="141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ht="14.25" customHeight="1">
      <c r="A57" s="141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14.25" customHeight="1">
      <c r="A58" s="14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14.25" customHeight="1">
      <c r="A59" s="14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26" ht="14.25" customHeight="1">
      <c r="A60" s="14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14.25" customHeight="1">
      <c r="A61" s="141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ht="14.25" customHeight="1">
      <c r="A62" s="141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26" ht="14.25" customHeight="1">
      <c r="A63" s="141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14.25" customHeight="1">
      <c r="A64" s="141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14.25" customHeight="1">
      <c r="A65" s="141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14.25" customHeight="1">
      <c r="A66" s="141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14.25" customHeight="1">
      <c r="A67" s="141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ht="14.25" customHeight="1">
      <c r="A68" s="141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14.25" customHeight="1">
      <c r="A69" s="141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ht="14.25" customHeight="1">
      <c r="A70" s="141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ht="14.25" customHeight="1">
      <c r="A71" s="141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14.25" customHeight="1">
      <c r="A72" s="141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14.25" customHeight="1">
      <c r="A73" s="141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14.25" customHeight="1">
      <c r="A74" s="141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6" ht="14.25" customHeight="1">
      <c r="A75" s="141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:26" ht="14.25" customHeight="1">
      <c r="A76" s="141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:26" ht="14.25" customHeight="1">
      <c r="A77" s="141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:26" ht="14.25" customHeight="1">
      <c r="A78" s="141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:26" ht="14.25" customHeight="1">
      <c r="A79" s="141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:26" ht="14.25" customHeight="1">
      <c r="A80" s="141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:26" ht="14.25" customHeight="1">
      <c r="A81" s="141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:26" ht="14.25" customHeight="1">
      <c r="A82" s="141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:26" ht="14.25" customHeight="1">
      <c r="A83" s="141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:26" ht="14.25" customHeight="1">
      <c r="A84" s="141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:26" ht="14.25" customHeight="1">
      <c r="A85" s="141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:26" ht="14.25" customHeight="1">
      <c r="A86" s="141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14.25" customHeight="1">
      <c r="A87" s="141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14.25" customHeight="1">
      <c r="A88" s="141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14.25" customHeight="1">
      <c r="A89" s="141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14.25" customHeight="1">
      <c r="A90" s="141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6" ht="14.25" customHeight="1">
      <c r="A91" s="141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:26" ht="14.25" customHeight="1">
      <c r="A92" s="141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:26" ht="14.25" customHeight="1">
      <c r="A93" s="141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:26" ht="14.25" customHeight="1">
      <c r="A94" s="141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:26" ht="14.25" customHeight="1">
      <c r="A95" s="141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:26" ht="14.25" customHeight="1">
      <c r="A96" s="141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:26" ht="14.25" customHeight="1">
      <c r="A97" s="141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:26" ht="14.25" customHeight="1">
      <c r="A98" s="141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6" ht="14.25" customHeight="1">
      <c r="A99" s="141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:26" ht="14.25" customHeight="1">
      <c r="A100" s="141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:26" ht="14.25" customHeight="1">
      <c r="A101" s="141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:26" ht="14.25" customHeight="1">
      <c r="A102" s="141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14.25" customHeight="1">
      <c r="A103" s="141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:26" ht="14.25" customHeight="1">
      <c r="A104" s="141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:26" ht="14.25" customHeight="1">
      <c r="A105" s="141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:26" ht="14.25" customHeight="1">
      <c r="A106" s="141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6" ht="14.25" customHeight="1">
      <c r="A107" s="141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14.25" customHeight="1">
      <c r="A108" s="141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14.25" customHeight="1">
      <c r="A109" s="141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:26" ht="14.25" customHeight="1">
      <c r="A110" s="141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:26" ht="14.25" customHeight="1">
      <c r="A111" s="141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:26" ht="14.25" customHeight="1">
      <c r="A112" s="141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:26" ht="14.25" customHeight="1">
      <c r="A113" s="141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:26" ht="14.25" customHeight="1">
      <c r="A114" s="141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:26" ht="14.25" customHeight="1">
      <c r="A115" s="141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:26" ht="14.25" customHeight="1">
      <c r="A116" s="141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:26" ht="14.25" customHeight="1">
      <c r="A117" s="141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:26" ht="14.25" customHeight="1">
      <c r="A118" s="141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:26" ht="14.25" customHeight="1">
      <c r="A119" s="141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:26" ht="14.25" customHeight="1">
      <c r="A120" s="141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:26" ht="14.25" customHeight="1">
      <c r="A121" s="141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:26" ht="14.25" customHeight="1">
      <c r="A122" s="141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:26" ht="14.25" customHeight="1">
      <c r="A123" s="141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:26" ht="14.25" customHeight="1">
      <c r="A124" s="141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:26" ht="14.25" customHeight="1">
      <c r="A125" s="141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:26" ht="14.25" customHeight="1">
      <c r="A126" s="141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:26" ht="14.25" customHeight="1">
      <c r="A127" s="141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:26" ht="14.25" customHeight="1">
      <c r="A128" s="141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:26" ht="14.25" customHeight="1">
      <c r="A129" s="141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:26" ht="14.25" customHeight="1">
      <c r="A130" s="141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:26" ht="14.25" customHeight="1">
      <c r="A131" s="141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:26" ht="14.25" customHeight="1">
      <c r="A132" s="141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:26" ht="14.25" customHeight="1">
      <c r="A133" s="141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:26" ht="14.25" customHeight="1">
      <c r="A134" s="141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:26" ht="14.25" customHeight="1">
      <c r="A135" s="141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:26" ht="14.25" customHeight="1">
      <c r="A136" s="141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:26" ht="14.25" customHeight="1">
      <c r="A137" s="141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1:26" ht="14.25" customHeight="1">
      <c r="A138" s="141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1:26" ht="14.25" customHeight="1">
      <c r="A139" s="141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 spans="1:26" ht="14.25" customHeight="1">
      <c r="A140" s="141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 spans="1:26" ht="14.25" customHeight="1">
      <c r="A141" s="141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 spans="1:26" ht="14.25" customHeight="1">
      <c r="A142" s="141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1:26" ht="14.25" customHeight="1">
      <c r="A143" s="141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1:26" ht="14.25" customHeight="1">
      <c r="A144" s="141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 spans="1:26" ht="14.25" customHeight="1">
      <c r="A145" s="141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 spans="1:26" ht="14.25" customHeight="1">
      <c r="A146" s="141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 spans="1:26" ht="14.25" customHeight="1">
      <c r="A147" s="141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 spans="1:26" ht="14.25" customHeight="1">
      <c r="A148" s="141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1:26" ht="14.25" customHeight="1">
      <c r="A149" s="141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1:26" ht="14.25" customHeight="1">
      <c r="A150" s="141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 spans="1:26" ht="14.25" customHeight="1">
      <c r="A151" s="141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1:26" ht="14.25" customHeight="1">
      <c r="A152" s="141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1:26" ht="14.25" customHeight="1">
      <c r="A153" s="141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 spans="1:26" ht="14.25" customHeight="1">
      <c r="A154" s="141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1:26" ht="14.25" customHeight="1">
      <c r="A155" s="141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26" ht="14.25" customHeight="1">
      <c r="A156" s="141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26" ht="14.25" customHeight="1">
      <c r="A157" s="141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26" ht="14.25" customHeight="1">
      <c r="A158" s="141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26" ht="14.25" customHeight="1">
      <c r="A159" s="141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1:26" ht="14.25" customHeight="1">
      <c r="A160" s="141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1:26" ht="14.25" customHeight="1">
      <c r="A161" s="141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1:26" ht="14.25" customHeight="1">
      <c r="A162" s="141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1:26" ht="14.25" customHeight="1">
      <c r="A163" s="141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1:26" ht="14.25" customHeight="1">
      <c r="A164" s="141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1:26" ht="14.25" customHeight="1">
      <c r="A165" s="141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1:26" ht="14.25" customHeight="1">
      <c r="A166" s="141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1:26" ht="14.25" customHeight="1">
      <c r="A167" s="141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1:26" ht="14.25" customHeight="1">
      <c r="A168" s="141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1:26" ht="14.25" customHeight="1">
      <c r="A169" s="141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1:26" ht="14.25" customHeight="1">
      <c r="A170" s="141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1:26" ht="14.25" customHeight="1">
      <c r="A171" s="141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1:26" ht="14.25" customHeight="1">
      <c r="A172" s="141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1:26" ht="14.25" customHeight="1">
      <c r="A173" s="141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1:26" ht="14.25" customHeight="1">
      <c r="A174" s="141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1:26" ht="14.25" customHeight="1">
      <c r="A175" s="141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1:26" ht="14.25" customHeight="1">
      <c r="A176" s="141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1:26" ht="14.25" customHeight="1">
      <c r="A177" s="141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 spans="1:26" ht="14.25" customHeight="1">
      <c r="A178" s="141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 spans="1:26" ht="14.25" customHeight="1">
      <c r="A179" s="141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 spans="1:26" ht="14.25" customHeight="1">
      <c r="A180" s="141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 spans="1:26" ht="14.25" customHeight="1">
      <c r="A181" s="141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 spans="1:26" ht="14.25" customHeight="1">
      <c r="A182" s="141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 spans="1:26" ht="14.25" customHeight="1">
      <c r="A183" s="141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 spans="1:26" ht="14.25" customHeight="1">
      <c r="A184" s="141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 spans="1:26" ht="14.25" customHeight="1">
      <c r="A185" s="141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 spans="1:26" ht="14.25" customHeight="1">
      <c r="A186" s="141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 spans="1:26" ht="14.25" customHeight="1">
      <c r="A187" s="141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 spans="1:26" ht="14.25" customHeight="1">
      <c r="A188" s="141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 spans="1:26" ht="14.25" customHeight="1">
      <c r="A189" s="141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 spans="1:26" ht="14.25" customHeight="1">
      <c r="A190" s="141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 spans="1:26" ht="14.25" customHeight="1">
      <c r="A191" s="141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 spans="1:26" ht="14.25" customHeight="1">
      <c r="A192" s="141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 spans="1:26" ht="14.25" customHeight="1">
      <c r="A193" s="141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 spans="1:26" ht="14.25" customHeight="1">
      <c r="A194" s="141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 spans="1:26" ht="14.25" customHeight="1">
      <c r="A195" s="141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 spans="1:26" ht="14.25" customHeight="1">
      <c r="A196" s="141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 spans="1:26" ht="14.25" customHeight="1">
      <c r="A197" s="141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1:26" ht="14.25" customHeight="1">
      <c r="A198" s="141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1:26" ht="14.25" customHeight="1">
      <c r="A199" s="141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1:26" ht="14.25" customHeight="1">
      <c r="A200" s="141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 spans="1:26" ht="14.25" customHeight="1">
      <c r="A201" s="141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 spans="1:26" ht="14.25" customHeight="1">
      <c r="A202" s="141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 spans="1:26" ht="14.25" customHeight="1">
      <c r="A203" s="141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 spans="1:26" ht="14.25" customHeight="1">
      <c r="A204" s="141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 spans="1:26" ht="14.25" customHeight="1">
      <c r="A205" s="141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 spans="1:26" ht="14.25" customHeight="1">
      <c r="A206" s="141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 spans="1:26" ht="14.25" customHeight="1">
      <c r="A207" s="141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 spans="1:26" ht="14.25" customHeight="1">
      <c r="A208" s="141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 spans="1:26" ht="14.25" customHeight="1">
      <c r="A209" s="141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 spans="1:26" ht="14.25" customHeight="1">
      <c r="A210" s="141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 spans="1:26" ht="14.25" customHeight="1">
      <c r="A211" s="141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 spans="1:26" ht="14.25" customHeight="1">
      <c r="A212" s="141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 spans="1:26" ht="14.25" customHeight="1">
      <c r="A213" s="141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 spans="1:26" ht="14.25" customHeight="1">
      <c r="A214" s="141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 spans="1:26" ht="14.25" customHeight="1">
      <c r="A215" s="141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 spans="1:26" ht="14.25" customHeight="1">
      <c r="A216" s="141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1:26" ht="14.25" customHeight="1">
      <c r="A217" s="141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1:26" ht="14.25" customHeight="1">
      <c r="A218" s="141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 spans="1:26" ht="14.25" customHeight="1">
      <c r="A219" s="141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 spans="1:26" ht="14.25" customHeight="1">
      <c r="A220" s="141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 spans="1:26" ht="14.25" customHeight="1">
      <c r="A221" s="141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 spans="1:26" ht="14.25" customHeight="1">
      <c r="A222" s="141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14.25" customHeight="1">
      <c r="A223" s="141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1:26" ht="14.25" customHeight="1">
      <c r="A224" s="141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 spans="1:26" ht="14.25" customHeight="1">
      <c r="A225" s="141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 spans="1:26" ht="14.25" customHeight="1">
      <c r="A226" s="141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1:26" ht="14.25" customHeight="1">
      <c r="A227" s="141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1:26" ht="14.25" customHeight="1">
      <c r="A228" s="141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 spans="1:26" ht="14.25" customHeight="1">
      <c r="A229" s="141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 spans="1:26" ht="14.25" customHeight="1">
      <c r="A230" s="141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 spans="1:26" ht="14.25" customHeight="1">
      <c r="A231" s="141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 spans="1:26" ht="14.25" customHeight="1">
      <c r="A232" s="141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 spans="1:26" ht="14.25" customHeight="1">
      <c r="A233" s="141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 spans="1:26" ht="14.25" customHeight="1">
      <c r="A234" s="141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14.25" customHeight="1">
      <c r="A235" s="141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ht="14.25" customHeight="1">
      <c r="A236" s="141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ht="14.25" customHeight="1">
      <c r="A237" s="141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 spans="1:26" ht="14.25" customHeight="1">
      <c r="A238" s="141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 spans="1:26" ht="14.25" customHeight="1">
      <c r="A239" s="141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 spans="1:26" ht="14.25" customHeight="1">
      <c r="A240" s="141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 spans="1:26" ht="14.25" customHeight="1">
      <c r="A241" s="141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 spans="1:26" ht="14.25" customHeight="1">
      <c r="A242" s="141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 spans="1:26" ht="14.25" customHeight="1">
      <c r="A243" s="141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 spans="1:26" ht="14.25" customHeight="1">
      <c r="A244" s="141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 spans="1:26" ht="14.25" customHeight="1">
      <c r="A245" s="141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 spans="1:26" ht="14.25" customHeight="1">
      <c r="A246" s="141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</row>
    <row r="247" spans="1:26" ht="14.25" customHeight="1">
      <c r="A247" s="141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</row>
    <row r="248" spans="1:26" ht="14.25" customHeight="1">
      <c r="A248" s="141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</row>
    <row r="249" spans="1:26" ht="14.25" customHeight="1">
      <c r="A249" s="141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</row>
    <row r="250" spans="1:26" ht="14.25" customHeight="1">
      <c r="A250" s="141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</row>
    <row r="251" spans="1:26" ht="14.25" customHeight="1">
      <c r="A251" s="141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</row>
    <row r="252" spans="1:26" ht="14.25" customHeight="1">
      <c r="A252" s="141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</row>
    <row r="253" spans="1:26" ht="14.25" customHeight="1">
      <c r="A253" s="141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</row>
    <row r="254" spans="1:26" ht="14.25" customHeight="1">
      <c r="A254" s="141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</row>
    <row r="255" spans="1:26" ht="14.25" customHeight="1">
      <c r="A255" s="141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</row>
    <row r="256" spans="1:26" ht="14.25" customHeight="1">
      <c r="A256" s="141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</row>
    <row r="257" spans="1:26" ht="14.25" customHeight="1">
      <c r="A257" s="141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 spans="1:26" ht="14.25" customHeight="1">
      <c r="A258" s="141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</row>
    <row r="259" spans="1:26" ht="14.25" customHeight="1">
      <c r="A259" s="141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</row>
    <row r="260" spans="1:26" ht="14.25" customHeight="1">
      <c r="A260" s="141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</row>
    <row r="261" spans="1:26" ht="14.25" customHeight="1">
      <c r="A261" s="141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</row>
    <row r="262" spans="1:26" ht="14.25" customHeight="1">
      <c r="A262" s="141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</row>
    <row r="263" spans="1:26" ht="14.25" customHeight="1">
      <c r="A263" s="141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</row>
    <row r="264" spans="1:26" ht="14.25" customHeight="1">
      <c r="A264" s="141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</row>
    <row r="265" spans="1:26" ht="14.25" customHeight="1">
      <c r="A265" s="141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</row>
    <row r="266" spans="1:26" ht="14.25" customHeight="1">
      <c r="A266" s="141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</row>
    <row r="267" spans="1:26" ht="14.25" customHeight="1">
      <c r="A267" s="141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</row>
    <row r="268" spans="1:26" ht="14.25" customHeight="1">
      <c r="A268" s="141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</row>
    <row r="269" spans="1:26" ht="14.25" customHeight="1">
      <c r="A269" s="141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</row>
    <row r="270" spans="1:26" ht="14.25" customHeight="1">
      <c r="A270" s="141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</row>
    <row r="271" spans="1:26" ht="14.25" customHeight="1">
      <c r="A271" s="141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</row>
    <row r="272" spans="1:26" ht="14.25" customHeight="1">
      <c r="A272" s="141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</row>
    <row r="273" spans="1:26" ht="14.25" customHeight="1">
      <c r="A273" s="141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</row>
    <row r="274" spans="1:26" ht="14.25" customHeight="1">
      <c r="A274" s="141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</row>
    <row r="275" spans="1:26" ht="14.25" customHeight="1">
      <c r="A275" s="141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</row>
    <row r="276" spans="1:26" ht="14.25" customHeight="1">
      <c r="A276" s="141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</row>
    <row r="277" spans="1:26" ht="14.25" customHeight="1">
      <c r="A277" s="141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</row>
    <row r="278" spans="1:26" ht="14.25" customHeight="1">
      <c r="A278" s="141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 spans="1:26" ht="14.25" customHeight="1">
      <c r="A279" s="141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</row>
    <row r="280" spans="1:26" ht="14.25" customHeight="1">
      <c r="A280" s="141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</row>
    <row r="281" spans="1:26" ht="14.25" customHeight="1">
      <c r="A281" s="141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</row>
    <row r="282" spans="1:26" ht="14.25" customHeight="1">
      <c r="A282" s="141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</row>
    <row r="283" spans="1:26" ht="14.25" customHeight="1">
      <c r="A283" s="141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</row>
    <row r="284" spans="1:26" ht="14.25" customHeight="1">
      <c r="A284" s="141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</row>
    <row r="285" spans="1:26" ht="14.25" customHeight="1">
      <c r="A285" s="141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</row>
    <row r="286" spans="1:26" ht="14.25" customHeight="1">
      <c r="A286" s="141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</row>
    <row r="287" spans="1:26" ht="14.25" customHeight="1">
      <c r="A287" s="141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</row>
    <row r="288" spans="1:26" ht="14.25" customHeight="1">
      <c r="A288" s="141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</row>
    <row r="289" spans="1:26" ht="14.25" customHeight="1">
      <c r="A289" s="141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</row>
    <row r="290" spans="1:26" ht="14.25" customHeight="1">
      <c r="A290" s="141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</row>
    <row r="291" spans="1:26" ht="14.25" customHeight="1">
      <c r="A291" s="141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</row>
    <row r="292" spans="1:26" ht="14.25" customHeight="1">
      <c r="A292" s="141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</row>
    <row r="293" spans="1:26" ht="14.25" customHeight="1">
      <c r="A293" s="141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</row>
    <row r="294" spans="1:26" ht="14.25" customHeight="1">
      <c r="A294" s="141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</row>
    <row r="295" spans="1:26" ht="14.25" customHeight="1">
      <c r="A295" s="141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</row>
    <row r="296" spans="1:26" ht="14.25" customHeight="1">
      <c r="A296" s="141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</row>
    <row r="297" spans="1:26" ht="14.25" customHeight="1">
      <c r="A297" s="141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</row>
    <row r="298" spans="1:26" ht="14.25" customHeight="1">
      <c r="A298" s="141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</row>
    <row r="299" spans="1:26" ht="14.25" customHeight="1">
      <c r="A299" s="141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</row>
    <row r="300" spans="1:26" ht="14.25" customHeight="1">
      <c r="A300" s="141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</row>
    <row r="301" spans="1:26" ht="14.25" customHeight="1">
      <c r="A301" s="141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</row>
    <row r="302" spans="1:26" ht="14.25" customHeight="1">
      <c r="A302" s="141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</row>
    <row r="303" spans="1:26" ht="14.25" customHeight="1">
      <c r="A303" s="141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</row>
    <row r="304" spans="1:26" ht="14.25" customHeight="1">
      <c r="A304" s="141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</row>
    <row r="305" spans="1:26" ht="14.25" customHeight="1">
      <c r="A305" s="141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</row>
    <row r="306" spans="1:26" ht="14.25" customHeight="1">
      <c r="A306" s="141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</row>
    <row r="307" spans="1:26" ht="14.25" customHeight="1">
      <c r="A307" s="141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</row>
    <row r="308" spans="1:26" ht="14.25" customHeight="1">
      <c r="A308" s="141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</row>
    <row r="309" spans="1:26" ht="14.25" customHeight="1">
      <c r="A309" s="141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</row>
    <row r="310" spans="1:26" ht="14.25" customHeight="1">
      <c r="A310" s="141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</row>
    <row r="311" spans="1:26" ht="14.25" customHeight="1">
      <c r="A311" s="141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</row>
    <row r="312" spans="1:26" ht="14.25" customHeight="1">
      <c r="A312" s="141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</row>
    <row r="313" spans="1:26" ht="14.25" customHeight="1">
      <c r="A313" s="141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</row>
    <row r="314" spans="1:26" ht="14.25" customHeight="1">
      <c r="A314" s="141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</row>
    <row r="315" spans="1:26" ht="14.25" customHeight="1">
      <c r="A315" s="141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</row>
    <row r="316" spans="1:26" ht="14.25" customHeight="1">
      <c r="A316" s="141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 spans="1:26" ht="14.25" customHeight="1">
      <c r="A317" s="141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</row>
    <row r="318" spans="1:26" ht="14.25" customHeight="1">
      <c r="A318" s="141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 spans="1:26" ht="14.25" customHeight="1">
      <c r="A319" s="141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 spans="1:26" ht="14.25" customHeight="1">
      <c r="A320" s="141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 spans="1:26" ht="14.25" customHeight="1">
      <c r="A321" s="141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 spans="1:26" ht="14.25" customHeight="1">
      <c r="A322" s="141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 spans="1:26" ht="14.25" customHeight="1">
      <c r="A323" s="141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</row>
    <row r="324" spans="1:26" ht="14.25" customHeight="1">
      <c r="A324" s="141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</row>
    <row r="325" spans="1:26" ht="14.25" customHeight="1">
      <c r="A325" s="141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</row>
    <row r="326" spans="1:26" ht="14.25" customHeight="1">
      <c r="A326" s="141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</row>
    <row r="327" spans="1:26" ht="14.25" customHeight="1">
      <c r="A327" s="141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</row>
    <row r="328" spans="1:26" ht="14.25" customHeight="1">
      <c r="A328" s="141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</row>
    <row r="329" spans="1:26" ht="14.25" customHeight="1">
      <c r="A329" s="141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</row>
    <row r="330" spans="1:26" ht="14.25" customHeight="1">
      <c r="A330" s="141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</row>
    <row r="331" spans="1:26" ht="14.25" customHeight="1">
      <c r="A331" s="141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</row>
    <row r="332" spans="1:26" ht="14.25" customHeight="1">
      <c r="A332" s="141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</row>
    <row r="333" spans="1:26" ht="14.25" customHeight="1">
      <c r="A333" s="141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 spans="1:26" ht="14.25" customHeight="1">
      <c r="A334" s="141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 spans="1:26" ht="14.25" customHeight="1">
      <c r="A335" s="141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 spans="1:26" ht="14.25" customHeight="1">
      <c r="A336" s="141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 spans="1:26" ht="14.25" customHeight="1">
      <c r="A337" s="141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 spans="1:26" ht="14.25" customHeight="1">
      <c r="A338" s="141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ht="14.25" customHeight="1">
      <c r="A339" s="141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 spans="1:26" ht="14.25" customHeight="1">
      <c r="A340" s="141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</row>
    <row r="341" spans="1:26" ht="14.25" customHeight="1">
      <c r="A341" s="141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</row>
    <row r="342" spans="1:26" ht="14.25" customHeight="1">
      <c r="A342" s="141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 spans="1:26" ht="14.25" customHeight="1">
      <c r="A343" s="141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 spans="1:26" ht="14.25" customHeight="1">
      <c r="A344" s="141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 spans="1:26" ht="14.25" customHeight="1">
      <c r="A345" s="141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 spans="1:26" ht="14.25" customHeight="1">
      <c r="A346" s="141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 spans="1:26" ht="14.25" customHeight="1">
      <c r="A347" s="141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 spans="1:26" ht="14.25" customHeight="1">
      <c r="A348" s="141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 spans="1:26" ht="14.25" customHeight="1">
      <c r="A349" s="141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 spans="1:26" ht="14.25" customHeight="1">
      <c r="A350" s="141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 spans="1:26" ht="14.25" customHeight="1">
      <c r="A351" s="141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 spans="1:26" ht="14.25" customHeight="1">
      <c r="A352" s="141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</row>
    <row r="353" spans="1:26" ht="14.25" customHeight="1">
      <c r="A353" s="141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</row>
    <row r="354" spans="1:26" ht="14.25" customHeight="1">
      <c r="A354" s="141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</row>
    <row r="355" spans="1:26" ht="14.25" customHeight="1">
      <c r="A355" s="141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</row>
    <row r="356" spans="1:26" ht="14.25" customHeight="1">
      <c r="A356" s="141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</row>
    <row r="357" spans="1:26" ht="14.25" customHeight="1">
      <c r="A357" s="141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</row>
    <row r="358" spans="1:26" ht="14.25" customHeight="1">
      <c r="A358" s="141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</row>
    <row r="359" spans="1:26" ht="14.25" customHeight="1">
      <c r="A359" s="141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 spans="1:26" ht="14.25" customHeight="1">
      <c r="A360" s="141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1" spans="1:26" ht="14.25" customHeight="1">
      <c r="A361" s="141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</row>
    <row r="362" spans="1:26" ht="14.25" customHeight="1">
      <c r="A362" s="141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</row>
    <row r="363" spans="1:26" ht="14.25" customHeight="1">
      <c r="A363" s="141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</row>
    <row r="364" spans="1:26" ht="14.25" customHeight="1">
      <c r="A364" s="141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</row>
    <row r="365" spans="1:26" ht="14.25" customHeight="1">
      <c r="A365" s="141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</row>
    <row r="366" spans="1:26" ht="14.25" customHeight="1">
      <c r="A366" s="141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</row>
    <row r="367" spans="1:26" ht="14.25" customHeight="1">
      <c r="A367" s="141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</row>
    <row r="368" spans="1:26" ht="14.25" customHeight="1">
      <c r="A368" s="141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</row>
    <row r="369" spans="1:26" ht="14.25" customHeight="1">
      <c r="A369" s="141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</row>
    <row r="370" spans="1:26" ht="14.25" customHeight="1">
      <c r="A370" s="141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</row>
    <row r="371" spans="1:26" ht="14.25" customHeight="1">
      <c r="A371" s="141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</row>
    <row r="372" spans="1:26" ht="14.25" customHeight="1">
      <c r="A372" s="141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</row>
    <row r="373" spans="1:26" ht="14.25" customHeight="1">
      <c r="A373" s="141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</row>
    <row r="374" spans="1:26" ht="14.25" customHeight="1">
      <c r="A374" s="141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</row>
    <row r="375" spans="1:26" ht="14.25" customHeight="1">
      <c r="A375" s="141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</row>
    <row r="376" spans="1:26" ht="14.25" customHeight="1">
      <c r="A376" s="141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</row>
    <row r="377" spans="1:26" ht="14.25" customHeight="1">
      <c r="A377" s="141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</row>
    <row r="378" spans="1:26" ht="14.25" customHeight="1">
      <c r="A378" s="141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</row>
    <row r="379" spans="1:26" ht="14.25" customHeight="1">
      <c r="A379" s="141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</row>
    <row r="380" spans="1:26" ht="14.25" customHeight="1">
      <c r="A380" s="141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</row>
    <row r="381" spans="1:26" ht="14.25" customHeight="1">
      <c r="A381" s="141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</row>
    <row r="382" spans="1:26" ht="14.25" customHeight="1">
      <c r="A382" s="141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</row>
    <row r="383" spans="1:26" ht="14.25" customHeight="1">
      <c r="A383" s="141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</row>
    <row r="384" spans="1:26" ht="14.25" customHeight="1">
      <c r="A384" s="141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</row>
    <row r="385" spans="1:26" ht="14.25" customHeight="1">
      <c r="A385" s="141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</row>
    <row r="386" spans="1:26" ht="14.25" customHeight="1">
      <c r="A386" s="141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</row>
    <row r="387" spans="1:26" ht="14.25" customHeight="1">
      <c r="A387" s="141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</row>
    <row r="388" spans="1:26" ht="14.25" customHeight="1">
      <c r="A388" s="141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</row>
    <row r="389" spans="1:26" ht="14.25" customHeight="1">
      <c r="A389" s="141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</row>
    <row r="390" spans="1:26" ht="14.25" customHeight="1">
      <c r="A390" s="141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</row>
    <row r="391" spans="1:26" ht="14.25" customHeight="1">
      <c r="A391" s="141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</row>
    <row r="392" spans="1:26" ht="14.25" customHeight="1">
      <c r="A392" s="141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</row>
    <row r="393" spans="1:26" ht="14.25" customHeight="1">
      <c r="A393" s="141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</row>
    <row r="394" spans="1:26" ht="14.25" customHeight="1">
      <c r="A394" s="141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</row>
    <row r="395" spans="1:26" ht="14.25" customHeight="1">
      <c r="A395" s="141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</row>
    <row r="396" spans="1:26" ht="14.25" customHeight="1">
      <c r="A396" s="141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</row>
    <row r="397" spans="1:26" ht="14.25" customHeight="1">
      <c r="A397" s="141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</row>
    <row r="398" spans="1:26" ht="14.25" customHeight="1">
      <c r="A398" s="141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</row>
    <row r="399" spans="1:26" ht="14.25" customHeight="1">
      <c r="A399" s="141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</row>
    <row r="400" spans="1:26" ht="14.25" customHeight="1">
      <c r="A400" s="141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</row>
    <row r="401" spans="1:26" ht="14.25" customHeight="1">
      <c r="A401" s="141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</row>
    <row r="402" spans="1:26" ht="14.25" customHeight="1">
      <c r="A402" s="141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</row>
    <row r="403" spans="1:26" ht="14.25" customHeight="1">
      <c r="A403" s="141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</row>
    <row r="404" spans="1:26" ht="14.25" customHeight="1">
      <c r="A404" s="141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</row>
    <row r="405" spans="1:26" ht="14.25" customHeight="1">
      <c r="A405" s="141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</row>
    <row r="406" spans="1:26" ht="14.25" customHeight="1">
      <c r="A406" s="141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</row>
    <row r="407" spans="1:26" ht="14.25" customHeight="1">
      <c r="A407" s="141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</row>
    <row r="408" spans="1:26" ht="14.25" customHeight="1">
      <c r="A408" s="141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</row>
    <row r="409" spans="1:26" ht="14.25" customHeight="1">
      <c r="A409" s="141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</row>
    <row r="410" spans="1:26" ht="14.25" customHeight="1">
      <c r="A410" s="141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</row>
    <row r="411" spans="1:26" ht="14.25" customHeight="1">
      <c r="A411" s="141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</row>
    <row r="412" spans="1:26" ht="14.25" customHeight="1">
      <c r="A412" s="141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</row>
    <row r="413" spans="1:26" ht="14.25" customHeight="1">
      <c r="A413" s="141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</row>
    <row r="414" spans="1:26" ht="14.25" customHeight="1">
      <c r="A414" s="141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</row>
    <row r="415" spans="1:26" ht="14.25" customHeight="1">
      <c r="A415" s="141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</row>
    <row r="416" spans="1:26" ht="14.25" customHeight="1">
      <c r="A416" s="141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</row>
    <row r="417" spans="1:26" ht="14.25" customHeight="1">
      <c r="A417" s="141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</row>
    <row r="418" spans="1:26" ht="14.25" customHeight="1">
      <c r="A418" s="141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</row>
    <row r="419" spans="1:26" ht="14.25" customHeight="1">
      <c r="A419" s="141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 spans="1:26" ht="14.25" customHeight="1">
      <c r="A420" s="141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 spans="1:26" ht="14.25" customHeight="1">
      <c r="A421" s="141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</row>
    <row r="422" spans="1:26" ht="14.25" customHeight="1">
      <c r="A422" s="141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</row>
    <row r="423" spans="1:26" ht="14.25" customHeight="1">
      <c r="A423" s="141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</row>
    <row r="424" spans="1:26" ht="14.25" customHeight="1">
      <c r="A424" s="141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</row>
    <row r="425" spans="1:26" ht="14.25" customHeight="1">
      <c r="A425" s="141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</row>
    <row r="426" spans="1:26" ht="14.25" customHeight="1">
      <c r="A426" s="141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</row>
    <row r="427" spans="1:26" ht="14.25" customHeight="1">
      <c r="A427" s="141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</row>
    <row r="428" spans="1:26" ht="14.25" customHeight="1">
      <c r="A428" s="141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</row>
    <row r="429" spans="1:26" ht="14.25" customHeight="1">
      <c r="A429" s="141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</row>
    <row r="430" spans="1:26" ht="14.25" customHeight="1">
      <c r="A430" s="141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</row>
    <row r="431" spans="1:26" ht="14.25" customHeight="1">
      <c r="A431" s="141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</row>
    <row r="432" spans="1:26" ht="14.25" customHeight="1">
      <c r="A432" s="141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</row>
    <row r="433" spans="1:26" ht="14.25" customHeight="1">
      <c r="A433" s="141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</row>
    <row r="434" spans="1:26" ht="14.25" customHeight="1">
      <c r="A434" s="141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</row>
    <row r="435" spans="1:26" ht="14.25" customHeight="1">
      <c r="A435" s="141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</row>
    <row r="436" spans="1:26" ht="14.25" customHeight="1">
      <c r="A436" s="141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 spans="1:26" ht="14.25" customHeight="1">
      <c r="A437" s="141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</row>
    <row r="438" spans="1:26" ht="14.25" customHeight="1">
      <c r="A438" s="141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</row>
    <row r="439" spans="1:26" ht="14.25" customHeight="1">
      <c r="A439" s="141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</row>
    <row r="440" spans="1:26" ht="14.25" customHeight="1">
      <c r="A440" s="141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 spans="1:26" ht="14.25" customHeight="1">
      <c r="A441" s="141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 spans="1:26" ht="14.25" customHeight="1">
      <c r="A442" s="141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</row>
    <row r="443" spans="1:26" ht="14.25" customHeight="1">
      <c r="A443" s="141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</row>
    <row r="444" spans="1:26" ht="14.25" customHeight="1">
      <c r="A444" s="141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</row>
    <row r="445" spans="1:26" ht="14.25" customHeight="1">
      <c r="A445" s="141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</row>
    <row r="446" spans="1:26" ht="14.25" customHeight="1">
      <c r="A446" s="141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</row>
    <row r="447" spans="1:26" ht="14.25" customHeight="1">
      <c r="A447" s="141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</row>
    <row r="448" spans="1:26" ht="14.25" customHeight="1">
      <c r="A448" s="141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</row>
    <row r="449" spans="1:26" ht="14.25" customHeight="1">
      <c r="A449" s="141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</row>
    <row r="450" spans="1:26" ht="14.25" customHeight="1">
      <c r="A450" s="141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</row>
    <row r="451" spans="1:26" ht="14.25" customHeight="1">
      <c r="A451" s="141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</row>
    <row r="452" spans="1:26" ht="14.25" customHeight="1">
      <c r="A452" s="141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</row>
    <row r="453" spans="1:26" ht="14.25" customHeight="1">
      <c r="A453" s="141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</row>
    <row r="454" spans="1:26" ht="14.25" customHeight="1">
      <c r="A454" s="141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</row>
    <row r="455" spans="1:26" ht="14.25" customHeight="1">
      <c r="A455" s="141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</row>
    <row r="456" spans="1:26" ht="14.25" customHeight="1">
      <c r="A456" s="141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</row>
    <row r="457" spans="1:26" ht="14.25" customHeight="1">
      <c r="A457" s="141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</row>
    <row r="458" spans="1:26" ht="14.25" customHeight="1">
      <c r="A458" s="141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</row>
    <row r="459" spans="1:26" ht="14.25" customHeight="1">
      <c r="A459" s="141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</row>
    <row r="460" spans="1:26" ht="14.25" customHeight="1">
      <c r="A460" s="141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</row>
    <row r="461" spans="1:26" ht="14.25" customHeight="1">
      <c r="A461" s="141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</row>
    <row r="462" spans="1:26" ht="14.25" customHeight="1">
      <c r="A462" s="141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</row>
    <row r="463" spans="1:26" ht="14.25" customHeight="1">
      <c r="A463" s="141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</row>
    <row r="464" spans="1:26" ht="14.25" customHeight="1">
      <c r="A464" s="141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</row>
    <row r="465" spans="1:26" ht="14.25" customHeight="1">
      <c r="A465" s="141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</row>
    <row r="466" spans="1:26" ht="14.25" customHeight="1">
      <c r="A466" s="141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</row>
    <row r="467" spans="1:26" ht="14.25" customHeight="1">
      <c r="A467" s="141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</row>
    <row r="468" spans="1:26" ht="14.25" customHeight="1">
      <c r="A468" s="141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</row>
    <row r="469" spans="1:26" ht="14.25" customHeight="1">
      <c r="A469" s="141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</row>
    <row r="470" spans="1:26" ht="14.25" customHeight="1">
      <c r="A470" s="141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</row>
    <row r="471" spans="1:26" ht="14.25" customHeight="1">
      <c r="A471" s="141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</row>
    <row r="472" spans="1:26" ht="14.25" customHeight="1">
      <c r="A472" s="141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</row>
    <row r="473" spans="1:26" ht="14.25" customHeight="1">
      <c r="A473" s="141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</row>
    <row r="474" spans="1:26" ht="14.25" customHeight="1">
      <c r="A474" s="141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</row>
    <row r="475" spans="1:26" ht="14.25" customHeight="1">
      <c r="A475" s="141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</row>
    <row r="476" spans="1:26" ht="14.25" customHeight="1">
      <c r="A476" s="141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</row>
    <row r="477" spans="1:26" ht="14.25" customHeight="1">
      <c r="A477" s="141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</row>
    <row r="478" spans="1:26" ht="14.25" customHeight="1">
      <c r="A478" s="141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</row>
    <row r="479" spans="1:26" ht="14.25" customHeight="1">
      <c r="A479" s="141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</row>
    <row r="480" spans="1:26" ht="14.25" customHeight="1">
      <c r="A480" s="141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</row>
    <row r="481" spans="1:26" ht="14.25" customHeight="1">
      <c r="A481" s="141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</row>
    <row r="482" spans="1:26" ht="14.25" customHeight="1">
      <c r="A482" s="141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</row>
    <row r="483" spans="1:26" ht="14.25" customHeight="1">
      <c r="A483" s="141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</row>
    <row r="484" spans="1:26" ht="14.25" customHeight="1">
      <c r="A484" s="141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</row>
    <row r="485" spans="1:26" ht="14.25" customHeight="1">
      <c r="A485" s="141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</row>
    <row r="486" spans="1:26" ht="14.25" customHeight="1">
      <c r="A486" s="141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</row>
    <row r="487" spans="1:26" ht="14.25" customHeight="1">
      <c r="A487" s="141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</row>
    <row r="488" spans="1:26" ht="14.25" customHeight="1">
      <c r="A488" s="141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</row>
    <row r="489" spans="1:26" ht="14.25" customHeight="1">
      <c r="A489" s="141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</row>
    <row r="490" spans="1:26" ht="14.25" customHeight="1">
      <c r="A490" s="141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</row>
    <row r="491" spans="1:26" ht="14.25" customHeight="1">
      <c r="A491" s="141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</row>
    <row r="492" spans="1:26" ht="14.25" customHeight="1">
      <c r="A492" s="141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</row>
    <row r="493" spans="1:26" ht="14.25" customHeight="1">
      <c r="A493" s="141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</row>
    <row r="494" spans="1:26" ht="14.25" customHeight="1">
      <c r="A494" s="141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</row>
    <row r="495" spans="1:26" ht="14.25" customHeight="1">
      <c r="A495" s="141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</row>
    <row r="496" spans="1:26" ht="14.25" customHeight="1">
      <c r="A496" s="141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</row>
    <row r="497" spans="1:26" ht="14.25" customHeight="1">
      <c r="A497" s="141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</row>
    <row r="498" spans="1:26" ht="14.25" customHeight="1">
      <c r="A498" s="141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</row>
    <row r="499" spans="1:26" ht="14.25" customHeight="1">
      <c r="A499" s="141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 spans="1:26" ht="14.25" customHeight="1">
      <c r="A500" s="141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 spans="1:26" ht="14.25" customHeight="1">
      <c r="A501" s="141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</row>
    <row r="502" spans="1:26" ht="14.25" customHeight="1">
      <c r="A502" s="141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</row>
    <row r="503" spans="1:26" ht="14.25" customHeight="1">
      <c r="A503" s="141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</row>
    <row r="504" spans="1:26" ht="14.25" customHeight="1">
      <c r="A504" s="141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 spans="1:26" ht="14.25" customHeight="1">
      <c r="A505" s="141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 spans="1:26" ht="14.25" customHeight="1">
      <c r="A506" s="141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 spans="1:26" ht="14.25" customHeight="1">
      <c r="A507" s="141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 spans="1:26" ht="14.25" customHeight="1">
      <c r="A508" s="141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 spans="1:26" ht="14.25" customHeight="1">
      <c r="A509" s="141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 spans="1:26" ht="14.25" customHeight="1">
      <c r="A510" s="141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 spans="1:26" ht="14.25" customHeight="1">
      <c r="A511" s="141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 spans="1:26" ht="14.25" customHeight="1">
      <c r="A512" s="141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 spans="1:26" ht="14.25" customHeight="1">
      <c r="A513" s="141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 spans="1:26" ht="14.25" customHeight="1">
      <c r="A514" s="141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 spans="1:26" ht="14.25" customHeight="1">
      <c r="A515" s="141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 spans="1:26" ht="14.25" customHeight="1">
      <c r="A516" s="141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 spans="1:26" ht="14.25" customHeight="1">
      <c r="A517" s="141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 spans="1:26" ht="14.25" customHeight="1">
      <c r="A518" s="141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 spans="1:26" ht="14.25" customHeight="1">
      <c r="A519" s="141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 spans="1:26" ht="14.25" customHeight="1">
      <c r="A520" s="141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 spans="1:26" ht="14.25" customHeight="1">
      <c r="A521" s="141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 spans="1:26" ht="14.25" customHeight="1">
      <c r="A522" s="141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 spans="1:26" ht="14.25" customHeight="1">
      <c r="A523" s="141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 spans="1:26" ht="14.25" customHeight="1">
      <c r="A524" s="141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 spans="1:26" ht="14.25" customHeight="1">
      <c r="A525" s="141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 spans="1:26" ht="14.25" customHeight="1">
      <c r="A526" s="141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 spans="1:26" ht="14.25" customHeight="1">
      <c r="A527" s="141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</row>
    <row r="528" spans="1:26" ht="14.25" customHeight="1">
      <c r="A528" s="141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</row>
    <row r="529" spans="1:26" ht="14.25" customHeight="1">
      <c r="A529" s="141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</row>
    <row r="530" spans="1:26" ht="14.25" customHeight="1">
      <c r="A530" s="141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</row>
    <row r="531" spans="1:26" ht="14.25" customHeight="1">
      <c r="A531" s="141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</row>
    <row r="532" spans="1:26" ht="14.25" customHeight="1">
      <c r="A532" s="141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</row>
    <row r="533" spans="1:26" ht="14.25" customHeight="1">
      <c r="A533" s="141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</row>
    <row r="534" spans="1:26" ht="14.25" customHeight="1">
      <c r="A534" s="141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</row>
    <row r="535" spans="1:26" ht="14.25" customHeight="1">
      <c r="A535" s="141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</row>
    <row r="536" spans="1:26" ht="14.25" customHeight="1">
      <c r="A536" s="141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</row>
    <row r="537" spans="1:26" ht="14.25" customHeight="1">
      <c r="A537" s="141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</row>
    <row r="538" spans="1:26" ht="14.25" customHeight="1">
      <c r="A538" s="141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</row>
    <row r="539" spans="1:26" ht="14.25" customHeight="1">
      <c r="A539" s="141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</row>
    <row r="540" spans="1:26" ht="14.25" customHeight="1">
      <c r="A540" s="141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</row>
    <row r="541" spans="1:26" ht="14.25" customHeight="1">
      <c r="A541" s="141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</row>
    <row r="542" spans="1:26" ht="14.25" customHeight="1">
      <c r="A542" s="141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</row>
    <row r="543" spans="1:26" ht="14.25" customHeight="1">
      <c r="A543" s="141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</row>
    <row r="544" spans="1:26" ht="14.25" customHeight="1">
      <c r="A544" s="141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 spans="1:26" ht="14.25" customHeight="1">
      <c r="A545" s="141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</row>
    <row r="546" spans="1:26" ht="14.25" customHeight="1">
      <c r="A546" s="141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</row>
    <row r="547" spans="1:26" ht="14.25" customHeight="1">
      <c r="A547" s="141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</row>
    <row r="548" spans="1:26" ht="14.25" customHeight="1">
      <c r="A548" s="141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</row>
    <row r="549" spans="1:26" ht="14.25" customHeight="1">
      <c r="A549" s="141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</row>
    <row r="550" spans="1:26" ht="14.25" customHeight="1">
      <c r="A550" s="141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</row>
    <row r="551" spans="1:26" ht="14.25" customHeight="1">
      <c r="A551" s="141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</row>
    <row r="552" spans="1:26" ht="14.25" customHeight="1">
      <c r="A552" s="141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</row>
    <row r="553" spans="1:26" ht="14.25" customHeight="1">
      <c r="A553" s="141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</row>
    <row r="554" spans="1:26" ht="14.25" customHeight="1">
      <c r="A554" s="141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</row>
    <row r="555" spans="1:26" ht="14.25" customHeight="1">
      <c r="A555" s="141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</row>
    <row r="556" spans="1:26" ht="14.25" customHeight="1">
      <c r="A556" s="141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</row>
    <row r="557" spans="1:26" ht="14.25" customHeight="1">
      <c r="A557" s="141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</row>
    <row r="558" spans="1:26" ht="14.25" customHeight="1">
      <c r="A558" s="141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</row>
    <row r="559" spans="1:26" ht="14.25" customHeight="1">
      <c r="A559" s="141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</row>
    <row r="560" spans="1:26" ht="14.25" customHeight="1">
      <c r="A560" s="141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</row>
    <row r="561" spans="1:26" ht="14.25" customHeight="1">
      <c r="A561" s="141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</row>
    <row r="562" spans="1:26" ht="14.25" customHeight="1">
      <c r="A562" s="141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</row>
    <row r="563" spans="1:26" ht="14.25" customHeight="1">
      <c r="A563" s="141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</row>
    <row r="564" spans="1:26" ht="14.25" customHeight="1">
      <c r="A564" s="141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</row>
    <row r="565" spans="1:26" ht="14.25" customHeight="1">
      <c r="A565" s="141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</row>
    <row r="566" spans="1:26" ht="14.25" customHeight="1">
      <c r="A566" s="141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</row>
    <row r="567" spans="1:26" ht="14.25" customHeight="1">
      <c r="A567" s="141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</row>
    <row r="568" spans="1:26" ht="14.25" customHeight="1">
      <c r="A568" s="141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</row>
    <row r="569" spans="1:26" ht="14.25" customHeight="1">
      <c r="A569" s="141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</row>
    <row r="570" spans="1:26" ht="14.25" customHeight="1">
      <c r="A570" s="141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</row>
    <row r="571" spans="1:26" ht="14.25" customHeight="1">
      <c r="A571" s="141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</row>
    <row r="572" spans="1:26" ht="14.25" customHeight="1">
      <c r="A572" s="141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</row>
    <row r="573" spans="1:26" ht="14.25" customHeight="1">
      <c r="A573" s="141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</row>
    <row r="574" spans="1:26" ht="14.25" customHeight="1">
      <c r="A574" s="141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</row>
    <row r="575" spans="1:26" ht="14.25" customHeight="1">
      <c r="A575" s="141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</row>
    <row r="576" spans="1:26" ht="14.25" customHeight="1">
      <c r="A576" s="141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</row>
    <row r="577" spans="1:26" ht="14.25" customHeight="1">
      <c r="A577" s="141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</row>
    <row r="578" spans="1:26" ht="14.25" customHeight="1">
      <c r="A578" s="141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</row>
    <row r="579" spans="1:26" ht="14.25" customHeight="1">
      <c r="A579" s="141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</row>
    <row r="580" spans="1:26" ht="14.25" customHeight="1">
      <c r="A580" s="141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 spans="1:26" ht="14.25" customHeight="1">
      <c r="A581" s="141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 spans="1:26" ht="14.25" customHeight="1">
      <c r="A582" s="141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 spans="1:26" ht="14.25" customHeight="1">
      <c r="A583" s="141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 spans="1:26" ht="14.25" customHeight="1">
      <c r="A584" s="141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 spans="1:26" ht="14.25" customHeight="1">
      <c r="A585" s="141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 spans="1:26" ht="14.25" customHeight="1">
      <c r="A586" s="141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6" ht="14.25" customHeight="1">
      <c r="A587" s="141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6" ht="14.25" customHeight="1">
      <c r="A588" s="141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6" ht="14.25" customHeight="1">
      <c r="A589" s="141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 spans="1:26" ht="14.25" customHeight="1">
      <c r="A590" s="141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 spans="1:26" ht="14.25" customHeight="1">
      <c r="A591" s="141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</row>
    <row r="592" spans="1:26" ht="14.25" customHeight="1">
      <c r="A592" s="141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ht="14.25" customHeight="1">
      <c r="A593" s="141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 spans="1:26" ht="14.25" customHeight="1">
      <c r="A594" s="141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 spans="1:26" ht="14.25" customHeight="1">
      <c r="A595" s="141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 spans="1:26" ht="14.25" customHeight="1">
      <c r="A596" s="141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</row>
    <row r="597" spans="1:26" ht="14.25" customHeight="1">
      <c r="A597" s="141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</row>
    <row r="598" spans="1:26" ht="14.25" customHeight="1">
      <c r="A598" s="141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</row>
    <row r="599" spans="1:26" ht="14.25" customHeight="1">
      <c r="A599" s="141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</row>
    <row r="600" spans="1:26" ht="14.25" customHeight="1">
      <c r="A600" s="141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</row>
    <row r="601" spans="1:26" ht="14.25" customHeight="1">
      <c r="A601" s="141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</row>
    <row r="602" spans="1:26" ht="14.25" customHeight="1">
      <c r="A602" s="141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</row>
    <row r="603" spans="1:26" ht="14.25" customHeight="1">
      <c r="A603" s="141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</row>
    <row r="604" spans="1:26" ht="14.25" customHeight="1">
      <c r="A604" s="141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</row>
    <row r="605" spans="1:26" ht="14.25" customHeight="1">
      <c r="A605" s="141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</row>
    <row r="606" spans="1:26" ht="14.25" customHeight="1">
      <c r="A606" s="141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</row>
    <row r="607" spans="1:26" ht="14.25" customHeight="1">
      <c r="A607" s="141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</row>
    <row r="608" spans="1:26" ht="14.25" customHeight="1">
      <c r="A608" s="141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</row>
    <row r="609" spans="1:26" ht="14.25" customHeight="1">
      <c r="A609" s="141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 spans="1:26" ht="14.25" customHeight="1">
      <c r="A610" s="141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 spans="1:26" ht="14.25" customHeight="1">
      <c r="A611" s="141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 spans="1:26" ht="14.25" customHeight="1">
      <c r="A612" s="141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 spans="1:26" ht="14.25" customHeight="1">
      <c r="A613" s="141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 spans="1:26" ht="14.25" customHeight="1">
      <c r="A614" s="141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 spans="1:26" ht="14.25" customHeight="1">
      <c r="A615" s="141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 spans="1:26" ht="14.25" customHeight="1">
      <c r="A616" s="141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 spans="1:26" ht="14.25" customHeight="1">
      <c r="A617" s="141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 spans="1:26" ht="14.25" customHeight="1">
      <c r="A618" s="141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</row>
    <row r="619" spans="1:26" ht="14.25" customHeight="1">
      <c r="A619" s="141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</row>
    <row r="620" spans="1:26" ht="14.25" customHeight="1">
      <c r="A620" s="141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</row>
    <row r="621" spans="1:26" ht="14.25" customHeight="1">
      <c r="A621" s="141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</row>
    <row r="622" spans="1:26" ht="14.25" customHeight="1">
      <c r="A622" s="141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</row>
    <row r="623" spans="1:26" ht="14.25" customHeight="1">
      <c r="A623" s="141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</row>
    <row r="624" spans="1:26" ht="14.25" customHeight="1">
      <c r="A624" s="141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</row>
    <row r="625" spans="1:26" ht="14.25" customHeight="1">
      <c r="A625" s="141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</row>
    <row r="626" spans="1:26" ht="14.25" customHeight="1">
      <c r="A626" s="141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</row>
    <row r="627" spans="1:26" ht="14.25" customHeight="1">
      <c r="A627" s="141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</row>
    <row r="628" spans="1:26" ht="14.25" customHeight="1">
      <c r="A628" s="141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</row>
    <row r="629" spans="1:26" ht="14.25" customHeight="1">
      <c r="A629" s="141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</row>
    <row r="630" spans="1:26" ht="14.25" customHeight="1">
      <c r="A630" s="141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</row>
    <row r="631" spans="1:26" ht="14.25" customHeight="1">
      <c r="A631" s="141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</row>
    <row r="632" spans="1:26" ht="14.25" customHeight="1">
      <c r="A632" s="141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</row>
    <row r="633" spans="1:26" ht="14.25" customHeight="1">
      <c r="A633" s="141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</row>
    <row r="634" spans="1:26" ht="14.25" customHeight="1">
      <c r="A634" s="141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 spans="1:26" ht="14.25" customHeight="1">
      <c r="A635" s="141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 spans="1:26" ht="14.25" customHeight="1">
      <c r="A636" s="141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 spans="1:26" ht="14.25" customHeight="1">
      <c r="A637" s="141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 spans="1:26" ht="14.25" customHeight="1">
      <c r="A638" s="141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 spans="1:26" ht="14.25" customHeight="1">
      <c r="A639" s="141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 spans="1:26" ht="14.25" customHeight="1">
      <c r="A640" s="141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 spans="1:26" ht="14.25" customHeight="1">
      <c r="A641" s="141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 spans="1:26" ht="14.25" customHeight="1">
      <c r="A642" s="141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 spans="1:26" ht="14.25" customHeight="1">
      <c r="A643" s="141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 spans="1:26" ht="14.25" customHeight="1">
      <c r="A644" s="141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 spans="1:26" ht="14.25" customHeight="1">
      <c r="A645" s="141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 spans="1:26" ht="14.25" customHeight="1">
      <c r="A646" s="141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 spans="1:26" ht="14.25" customHeight="1">
      <c r="A647" s="141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 spans="1:26" ht="14.25" customHeight="1">
      <c r="A648" s="141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 spans="1:26" ht="14.25" customHeight="1">
      <c r="A649" s="141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 spans="1:26" ht="14.25" customHeight="1">
      <c r="A650" s="141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 spans="1:26" ht="14.25" customHeight="1">
      <c r="A651" s="141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 spans="1:26" ht="14.25" customHeight="1">
      <c r="A652" s="141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 spans="1:26" ht="14.25" customHeight="1">
      <c r="A653" s="141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 spans="1:26" ht="14.25" customHeight="1">
      <c r="A654" s="141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 spans="1:26" ht="14.25" customHeight="1">
      <c r="A655" s="141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 spans="1:26" ht="14.25" customHeight="1">
      <c r="A656" s="141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 spans="1:26" ht="14.25" customHeight="1">
      <c r="A657" s="141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 spans="1:26" ht="14.25" customHeight="1">
      <c r="A658" s="141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 spans="1:26" ht="14.25" customHeight="1">
      <c r="A659" s="141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 spans="1:26" ht="14.25" customHeight="1">
      <c r="A660" s="141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ht="14.25" customHeight="1">
      <c r="A661" s="141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 spans="1:26" ht="14.25" customHeight="1">
      <c r="A662" s="141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ht="14.25" customHeight="1">
      <c r="A663" s="141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 spans="1:26" ht="14.25" customHeight="1">
      <c r="A664" s="141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 spans="1:26" ht="14.25" customHeight="1">
      <c r="A665" s="141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 spans="1:26" ht="14.25" customHeight="1">
      <c r="A666" s="141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</row>
    <row r="667" spans="1:26" ht="14.25" customHeight="1">
      <c r="A667" s="141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</row>
    <row r="668" spans="1:26" ht="14.25" customHeight="1">
      <c r="A668" s="141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</row>
    <row r="669" spans="1:26" ht="14.25" customHeight="1">
      <c r="A669" s="141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</row>
    <row r="670" spans="1:26" ht="14.25" customHeight="1">
      <c r="A670" s="141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</row>
    <row r="671" spans="1:26" ht="14.25" customHeight="1">
      <c r="A671" s="141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</row>
    <row r="672" spans="1:26" ht="14.25" customHeight="1">
      <c r="A672" s="141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</row>
    <row r="673" spans="1:26" ht="14.25" customHeight="1">
      <c r="A673" s="141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</row>
    <row r="674" spans="1:26" ht="14.25" customHeight="1">
      <c r="A674" s="141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</row>
    <row r="675" spans="1:26" ht="14.25" customHeight="1">
      <c r="A675" s="141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</row>
    <row r="676" spans="1:26" ht="14.25" customHeight="1">
      <c r="A676" s="141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</row>
    <row r="677" spans="1:26" ht="14.25" customHeight="1">
      <c r="A677" s="141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</row>
    <row r="678" spans="1:26" ht="14.25" customHeight="1">
      <c r="A678" s="141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 spans="1:26" ht="14.25" customHeight="1">
      <c r="A679" s="141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 spans="1:26" ht="14.25" customHeight="1">
      <c r="A680" s="141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 spans="1:26" ht="14.25" customHeight="1">
      <c r="A681" s="141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 spans="1:26" ht="14.25" customHeight="1">
      <c r="A682" s="141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 spans="1:26" ht="14.25" customHeight="1">
      <c r="A683" s="141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 spans="1:26" ht="14.25" customHeight="1">
      <c r="A684" s="141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 spans="1:26" ht="14.25" customHeight="1">
      <c r="A685" s="141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 spans="1:26" ht="14.25" customHeight="1">
      <c r="A686" s="141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 spans="1:26" ht="14.25" customHeight="1">
      <c r="A687" s="141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 spans="1:26" ht="14.25" customHeight="1">
      <c r="A688" s="141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 spans="1:26" ht="14.25" customHeight="1">
      <c r="A689" s="141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 spans="1:26" ht="14.25" customHeight="1">
      <c r="A690" s="141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 spans="1:26" ht="14.25" customHeight="1">
      <c r="A691" s="141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 spans="1:26" ht="14.25" customHeight="1">
      <c r="A692" s="141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 spans="1:26" ht="14.25" customHeight="1">
      <c r="A693" s="141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 spans="1:26" ht="14.25" customHeight="1">
      <c r="A694" s="141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 spans="1:26" ht="14.25" customHeight="1">
      <c r="A695" s="141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 spans="1:26" ht="14.25" customHeight="1">
      <c r="A696" s="141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 spans="1:26" ht="14.25" customHeight="1">
      <c r="A697" s="141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 spans="1:26" ht="14.25" customHeight="1">
      <c r="A698" s="141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 spans="1:26" ht="14.25" customHeight="1">
      <c r="A699" s="141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 spans="1:26" ht="14.25" customHeight="1">
      <c r="A700" s="141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 spans="1:26" ht="14.25" customHeight="1">
      <c r="A701" s="141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</row>
    <row r="702" spans="1:26" ht="14.25" customHeight="1">
      <c r="A702" s="141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</row>
    <row r="703" spans="1:26" ht="14.25" customHeight="1">
      <c r="A703" s="141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</row>
    <row r="704" spans="1:26" ht="14.25" customHeight="1">
      <c r="A704" s="141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</row>
    <row r="705" spans="1:26" ht="14.25" customHeight="1">
      <c r="A705" s="141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 spans="1:26" ht="14.25" customHeight="1">
      <c r="A706" s="141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 spans="1:26" ht="14.25" customHeight="1">
      <c r="A707" s="141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</row>
    <row r="708" spans="1:26" ht="14.25" customHeight="1">
      <c r="A708" s="141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</row>
    <row r="709" spans="1:26" ht="14.25" customHeight="1">
      <c r="A709" s="141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 spans="1:26" ht="14.25" customHeight="1">
      <c r="A710" s="141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 spans="1:26" ht="14.25" customHeight="1">
      <c r="A711" s="141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 spans="1:26" ht="14.25" customHeight="1">
      <c r="A712" s="141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 spans="1:26" ht="14.25" customHeight="1">
      <c r="A713" s="141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 spans="1:26" ht="14.25" customHeight="1">
      <c r="A714" s="141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</row>
    <row r="715" spans="1:26" ht="14.25" customHeight="1">
      <c r="A715" s="141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</row>
    <row r="716" spans="1:26" ht="14.25" customHeight="1">
      <c r="A716" s="141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</row>
    <row r="717" spans="1:26" ht="14.25" customHeight="1">
      <c r="A717" s="141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</row>
    <row r="718" spans="1:26" ht="14.25" customHeight="1">
      <c r="A718" s="141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</row>
    <row r="719" spans="1:26" ht="14.25" customHeight="1">
      <c r="A719" s="141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</row>
    <row r="720" spans="1:26" ht="14.25" customHeight="1">
      <c r="A720" s="141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</row>
    <row r="721" spans="1:26" ht="14.25" customHeight="1">
      <c r="A721" s="141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</row>
    <row r="722" spans="1:26" ht="14.25" customHeight="1">
      <c r="A722" s="141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</row>
    <row r="723" spans="1:26" ht="14.25" customHeight="1">
      <c r="A723" s="141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</row>
    <row r="724" spans="1:26" ht="14.25" customHeight="1">
      <c r="A724" s="141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</row>
    <row r="725" spans="1:26" ht="14.25" customHeight="1">
      <c r="A725" s="141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</row>
    <row r="726" spans="1:26" ht="14.25" customHeight="1">
      <c r="A726" s="141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</row>
    <row r="727" spans="1:26" ht="14.25" customHeight="1">
      <c r="A727" s="141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</row>
    <row r="728" spans="1:26" ht="14.25" customHeight="1">
      <c r="A728" s="141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</row>
    <row r="729" spans="1:26" ht="14.25" customHeight="1">
      <c r="A729" s="141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</row>
    <row r="730" spans="1:26" ht="14.25" customHeight="1">
      <c r="A730" s="141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</row>
    <row r="731" spans="1:26" ht="14.25" customHeight="1">
      <c r="A731" s="141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</row>
    <row r="732" spans="1:26" ht="14.25" customHeight="1">
      <c r="A732" s="141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</row>
    <row r="733" spans="1:26" ht="14.25" customHeight="1">
      <c r="A733" s="141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</row>
    <row r="734" spans="1:26" ht="14.25" customHeight="1">
      <c r="A734" s="141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 spans="1:26" ht="14.25" customHeight="1">
      <c r="A735" s="141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</row>
    <row r="736" spans="1:26" ht="14.25" customHeight="1">
      <c r="A736" s="141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</row>
    <row r="737" spans="1:26" ht="14.25" customHeight="1">
      <c r="A737" s="141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</row>
    <row r="738" spans="1:26" ht="14.25" customHeight="1">
      <c r="A738" s="141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</row>
    <row r="739" spans="1:26" ht="14.25" customHeight="1">
      <c r="A739" s="141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</row>
    <row r="740" spans="1:26" ht="14.25" customHeight="1">
      <c r="A740" s="141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</row>
    <row r="741" spans="1:26" ht="14.25" customHeight="1">
      <c r="A741" s="141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</row>
    <row r="742" spans="1:26" ht="14.25" customHeight="1">
      <c r="A742" s="141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</row>
    <row r="743" spans="1:26" ht="14.25" customHeight="1">
      <c r="A743" s="141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</row>
    <row r="744" spans="1:26" ht="14.25" customHeight="1">
      <c r="A744" s="141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</row>
    <row r="745" spans="1:26" ht="14.25" customHeight="1">
      <c r="A745" s="141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 spans="1:26" ht="14.25" customHeight="1">
      <c r="A746" s="141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</row>
    <row r="747" spans="1:26" ht="14.25" customHeight="1">
      <c r="A747" s="141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</row>
    <row r="748" spans="1:26" ht="14.25" customHeight="1">
      <c r="A748" s="141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</row>
    <row r="749" spans="1:26" ht="14.25" customHeight="1">
      <c r="A749" s="141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 spans="1:26" ht="14.25" customHeight="1">
      <c r="A750" s="141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 spans="1:26" ht="14.25" customHeight="1">
      <c r="A751" s="141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 spans="1:26" ht="14.25" customHeight="1">
      <c r="A752" s="141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 spans="1:26" ht="14.25" customHeight="1">
      <c r="A753" s="141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 spans="1:26" ht="14.25" customHeight="1">
      <c r="A754" s="141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 spans="1:26" ht="14.25" customHeight="1">
      <c r="A755" s="141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 spans="1:26" ht="14.25" customHeight="1">
      <c r="A756" s="141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 spans="1:26" ht="14.25" customHeight="1">
      <c r="A757" s="141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</row>
    <row r="758" spans="1:26" ht="14.25" customHeight="1">
      <c r="A758" s="141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</row>
    <row r="759" spans="1:26" ht="14.25" customHeight="1">
      <c r="A759" s="141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</row>
    <row r="760" spans="1:26" ht="14.25" customHeight="1">
      <c r="A760" s="141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</row>
    <row r="761" spans="1:26" ht="14.25" customHeight="1">
      <c r="A761" s="141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</row>
    <row r="762" spans="1:26" ht="14.25" customHeight="1">
      <c r="A762" s="141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</row>
    <row r="763" spans="1:26" ht="14.25" customHeight="1">
      <c r="A763" s="141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</row>
    <row r="764" spans="1:26" ht="14.25" customHeight="1">
      <c r="A764" s="141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</row>
    <row r="765" spans="1:26" ht="14.25" customHeight="1">
      <c r="A765" s="141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</row>
    <row r="766" spans="1:26" ht="14.25" customHeight="1">
      <c r="A766" s="141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</row>
    <row r="767" spans="1:26" ht="14.25" customHeight="1">
      <c r="A767" s="141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</row>
    <row r="768" spans="1:26" ht="14.25" customHeight="1">
      <c r="A768" s="141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</row>
    <row r="769" spans="1:26" ht="14.25" customHeight="1">
      <c r="A769" s="141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</row>
    <row r="770" spans="1:26" ht="14.25" customHeight="1">
      <c r="A770" s="141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</row>
    <row r="771" spans="1:26" ht="14.25" customHeight="1">
      <c r="A771" s="141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</row>
    <row r="772" spans="1:26" ht="14.25" customHeight="1">
      <c r="A772" s="141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</row>
    <row r="773" spans="1:26" ht="14.25" customHeight="1">
      <c r="A773" s="141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</row>
    <row r="774" spans="1:26" ht="14.25" customHeight="1">
      <c r="A774" s="141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</row>
    <row r="775" spans="1:26" ht="14.25" customHeight="1">
      <c r="A775" s="141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</row>
    <row r="776" spans="1:26" ht="14.25" customHeight="1">
      <c r="A776" s="141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</row>
    <row r="777" spans="1:26" ht="14.25" customHeight="1">
      <c r="A777" s="141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</row>
    <row r="778" spans="1:26" ht="14.25" customHeight="1">
      <c r="A778" s="141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</row>
    <row r="779" spans="1:26" ht="14.25" customHeight="1">
      <c r="A779" s="141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</row>
    <row r="780" spans="1:26" ht="14.25" customHeight="1">
      <c r="A780" s="141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</row>
    <row r="781" spans="1:26" ht="14.25" customHeight="1">
      <c r="A781" s="141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</row>
    <row r="782" spans="1:26" ht="14.25" customHeight="1">
      <c r="A782" s="141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</row>
    <row r="783" spans="1:26" ht="14.25" customHeight="1">
      <c r="A783" s="141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</row>
    <row r="784" spans="1:26" ht="14.25" customHeight="1">
      <c r="A784" s="141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 spans="1:26" ht="14.25" customHeight="1">
      <c r="A785" s="141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 spans="1:26" ht="14.25" customHeight="1">
      <c r="A786" s="141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 spans="1:26" ht="14.25" customHeight="1">
      <c r="A787" s="141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 spans="1:26" ht="14.25" customHeight="1">
      <c r="A788" s="141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</row>
    <row r="789" spans="1:26" ht="14.25" customHeight="1">
      <c r="A789" s="141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 spans="1:26" ht="14.25" customHeight="1">
      <c r="A790" s="141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</row>
    <row r="791" spans="1:26" ht="14.25" customHeight="1">
      <c r="A791" s="141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 spans="1:26" ht="14.25" customHeight="1">
      <c r="A792" s="141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 spans="1:26" ht="14.25" customHeight="1">
      <c r="A793" s="141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 spans="1:26" ht="14.25" customHeight="1">
      <c r="A794" s="141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 spans="1:26" ht="14.25" customHeight="1">
      <c r="A795" s="141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 spans="1:26" ht="14.25" customHeight="1">
      <c r="A796" s="141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 spans="1:26" ht="14.25" customHeight="1">
      <c r="A797" s="141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 spans="1:26" ht="14.25" customHeight="1">
      <c r="A798" s="141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 spans="1:26" ht="14.25" customHeight="1">
      <c r="A799" s="141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</row>
    <row r="800" spans="1:26" ht="14.25" customHeight="1">
      <c r="A800" s="141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</row>
    <row r="801" spans="1:26" ht="14.25" customHeight="1">
      <c r="A801" s="141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</row>
    <row r="802" spans="1:26" ht="14.25" customHeight="1">
      <c r="A802" s="141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</row>
    <row r="803" spans="1:26" ht="14.25" customHeight="1">
      <c r="A803" s="141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</row>
    <row r="804" spans="1:26" ht="14.25" customHeight="1">
      <c r="A804" s="141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</row>
    <row r="805" spans="1:26" ht="14.25" customHeight="1">
      <c r="A805" s="141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</row>
    <row r="806" spans="1:26" ht="14.25" customHeight="1">
      <c r="A806" s="141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</row>
    <row r="807" spans="1:26" ht="14.25" customHeight="1">
      <c r="A807" s="141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</row>
    <row r="808" spans="1:26" ht="14.25" customHeight="1">
      <c r="A808" s="141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</row>
    <row r="809" spans="1:26" ht="14.25" customHeight="1">
      <c r="A809" s="141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</row>
    <row r="810" spans="1:26" ht="14.25" customHeight="1">
      <c r="A810" s="141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</row>
    <row r="811" spans="1:26" ht="14.25" customHeight="1">
      <c r="A811" s="141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</row>
    <row r="812" spans="1:26" ht="14.25" customHeight="1">
      <c r="A812" s="141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</row>
    <row r="813" spans="1:26" ht="14.25" customHeight="1">
      <c r="A813" s="141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</row>
    <row r="814" spans="1:26" ht="14.25" customHeight="1">
      <c r="A814" s="141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</row>
    <row r="815" spans="1:26" ht="14.25" customHeight="1">
      <c r="A815" s="141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</row>
    <row r="816" spans="1:26" ht="14.25" customHeight="1">
      <c r="A816" s="141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</row>
    <row r="817" spans="1:26" ht="14.25" customHeight="1">
      <c r="A817" s="141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</row>
    <row r="818" spans="1:26" ht="14.25" customHeight="1">
      <c r="A818" s="141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</row>
    <row r="819" spans="1:26" ht="14.25" customHeight="1">
      <c r="A819" s="141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</row>
    <row r="820" spans="1:26" ht="14.25" customHeight="1">
      <c r="A820" s="141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</row>
    <row r="821" spans="1:26" ht="14.25" customHeight="1">
      <c r="A821" s="141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</row>
    <row r="822" spans="1:26" ht="14.25" customHeight="1">
      <c r="A822" s="141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 spans="1:26" ht="14.25" customHeight="1">
      <c r="A823" s="141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 spans="1:26" ht="14.25" customHeight="1">
      <c r="A824" s="141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</row>
    <row r="825" spans="1:26" ht="14.25" customHeight="1">
      <c r="A825" s="141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 spans="1:26" ht="14.25" customHeight="1">
      <c r="A826" s="141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 spans="1:26" ht="14.25" customHeight="1">
      <c r="A827" s="141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 spans="1:26" ht="14.25" customHeight="1">
      <c r="A828" s="141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 spans="1:26" ht="14.25" customHeight="1">
      <c r="A829" s="141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 spans="1:26" ht="14.25" customHeight="1">
      <c r="A830" s="141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 spans="1:26" ht="14.25" customHeight="1">
      <c r="A831" s="141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 spans="1:26" ht="14.25" customHeight="1">
      <c r="A832" s="141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 spans="1:26" ht="14.25" customHeight="1">
      <c r="A833" s="141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 spans="1:26" ht="14.25" customHeight="1">
      <c r="A834" s="141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 spans="1:26" ht="14.25" customHeight="1">
      <c r="A835" s="141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</row>
    <row r="836" spans="1:26" ht="14.25" customHeight="1">
      <c r="A836" s="141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 spans="1:26" ht="14.25" customHeight="1">
      <c r="A837" s="141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 spans="1:26" ht="14.25" customHeight="1">
      <c r="A838" s="141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 spans="1:26" ht="14.25" customHeight="1">
      <c r="A839" s="141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 spans="1:26" ht="14.25" customHeight="1">
      <c r="A840" s="141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 spans="1:26" ht="14.25" customHeight="1">
      <c r="A841" s="141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 spans="1:26" ht="14.25" customHeight="1">
      <c r="A842" s="141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 spans="1:26" ht="14.25" customHeight="1">
      <c r="A843" s="141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 spans="1:26" ht="14.25" customHeight="1">
      <c r="A844" s="141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 spans="1:26" ht="14.25" customHeight="1">
      <c r="A845" s="141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 spans="1:26" ht="14.25" customHeight="1">
      <c r="A846" s="141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 spans="1:26" ht="14.25" customHeight="1">
      <c r="A847" s="141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 spans="1:26" ht="14.25" customHeight="1">
      <c r="A848" s="141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 spans="1:26" ht="14.25" customHeight="1">
      <c r="A849" s="141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 spans="1:26" ht="14.25" customHeight="1">
      <c r="A850" s="141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 spans="1:26" ht="14.25" customHeight="1">
      <c r="A851" s="141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</row>
    <row r="852" spans="1:26" ht="14.25" customHeight="1">
      <c r="A852" s="141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</row>
    <row r="853" spans="1:26" ht="14.25" customHeight="1">
      <c r="A853" s="141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</row>
    <row r="854" spans="1:26" ht="14.25" customHeight="1">
      <c r="A854" s="141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</row>
    <row r="855" spans="1:26" ht="14.25" customHeight="1">
      <c r="A855" s="141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 spans="1:26" ht="14.25" customHeight="1">
      <c r="A856" s="141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 spans="1:26" ht="14.25" customHeight="1">
      <c r="A857" s="141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 spans="1:26" ht="14.25" customHeight="1">
      <c r="A858" s="141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 spans="1:26" ht="14.25" customHeight="1">
      <c r="A859" s="141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 spans="1:26" ht="14.25" customHeight="1">
      <c r="A860" s="141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 spans="1:26" ht="14.25" customHeight="1">
      <c r="A861" s="141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 spans="1:26" ht="14.25" customHeight="1">
      <c r="A862" s="141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 spans="1:26" ht="14.25" customHeight="1">
      <c r="A863" s="141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 spans="1:26" ht="14.25" customHeight="1">
      <c r="A864" s="141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 spans="1:26" ht="14.25" customHeight="1">
      <c r="A865" s="141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 spans="1:26" ht="14.25" customHeight="1">
      <c r="A866" s="141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 spans="1:26" ht="14.25" customHeight="1">
      <c r="A867" s="141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 spans="1:26" ht="14.25" customHeight="1">
      <c r="A868" s="141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 spans="1:26" ht="14.25" customHeight="1">
      <c r="A869" s="141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 spans="1:26" ht="14.25" customHeight="1">
      <c r="A870" s="141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 spans="1:26" ht="14.25" customHeight="1">
      <c r="A871" s="141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 spans="1:26" ht="14.25" customHeight="1">
      <c r="A872" s="141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 spans="1:26" ht="14.25" customHeight="1">
      <c r="A873" s="141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 spans="1:26" ht="14.25" customHeight="1">
      <c r="A874" s="141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 spans="1:26" ht="14.25" customHeight="1">
      <c r="A875" s="141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 spans="1:26" ht="14.25" customHeight="1">
      <c r="A876" s="141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 spans="1:26" ht="14.25" customHeight="1">
      <c r="A877" s="141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</row>
    <row r="878" spans="1:26" ht="14.25" customHeight="1">
      <c r="A878" s="141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</row>
    <row r="879" spans="1:26" ht="14.25" customHeight="1">
      <c r="A879" s="141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</row>
    <row r="880" spans="1:26" ht="14.25" customHeight="1">
      <c r="A880" s="141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</row>
    <row r="881" spans="1:26" ht="14.25" customHeight="1">
      <c r="A881" s="141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</row>
    <row r="882" spans="1:26" ht="14.25" customHeight="1">
      <c r="A882" s="141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</row>
    <row r="883" spans="1:26" ht="14.25" customHeight="1">
      <c r="A883" s="141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</row>
    <row r="884" spans="1:26" ht="14.25" customHeight="1">
      <c r="A884" s="141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</row>
    <row r="885" spans="1:26" ht="14.25" customHeight="1">
      <c r="A885" s="141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</row>
    <row r="886" spans="1:26" ht="14.25" customHeight="1">
      <c r="A886" s="141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</row>
    <row r="887" spans="1:26" ht="14.25" customHeight="1">
      <c r="A887" s="141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</row>
    <row r="888" spans="1:26" ht="14.25" customHeight="1">
      <c r="A888" s="141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</row>
    <row r="889" spans="1:26" ht="14.25" customHeight="1">
      <c r="A889" s="141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</row>
    <row r="890" spans="1:26" ht="14.25" customHeight="1">
      <c r="A890" s="141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</row>
    <row r="891" spans="1:26" ht="14.25" customHeight="1">
      <c r="A891" s="141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</row>
    <row r="892" spans="1:26" ht="14.25" customHeight="1">
      <c r="A892" s="141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</row>
    <row r="893" spans="1:26" ht="14.25" customHeight="1">
      <c r="A893" s="141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</row>
    <row r="894" spans="1:26" ht="14.25" customHeight="1">
      <c r="A894" s="141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</row>
    <row r="895" spans="1:26" ht="14.25" customHeight="1">
      <c r="A895" s="141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</row>
    <row r="896" spans="1:26" ht="14.25" customHeight="1">
      <c r="A896" s="141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</row>
    <row r="897" spans="1:26" ht="14.25" customHeight="1">
      <c r="A897" s="141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</row>
    <row r="898" spans="1:26" ht="14.25" customHeight="1">
      <c r="A898" s="141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</row>
    <row r="899" spans="1:26" ht="14.25" customHeight="1">
      <c r="A899" s="141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</row>
    <row r="900" spans="1:26" ht="14.25" customHeight="1">
      <c r="A900" s="141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</row>
    <row r="901" spans="1:26" ht="14.25" customHeight="1">
      <c r="A901" s="141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</row>
    <row r="902" spans="1:26" ht="14.25" customHeight="1">
      <c r="A902" s="141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</row>
    <row r="903" spans="1:26" ht="14.25" customHeight="1">
      <c r="A903" s="141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</row>
    <row r="904" spans="1:26" ht="14.25" customHeight="1">
      <c r="A904" s="141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</row>
    <row r="905" spans="1:26" ht="14.25" customHeight="1">
      <c r="A905" s="141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</row>
    <row r="906" spans="1:26" ht="14.25" customHeight="1">
      <c r="A906" s="141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</row>
    <row r="907" spans="1:26" ht="14.25" customHeight="1">
      <c r="A907" s="141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</row>
    <row r="908" spans="1:26" ht="14.25" customHeight="1">
      <c r="A908" s="141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</row>
    <row r="909" spans="1:26" ht="14.25" customHeight="1">
      <c r="A909" s="141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</row>
    <row r="910" spans="1:26" ht="14.25" customHeight="1">
      <c r="A910" s="141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</row>
    <row r="911" spans="1:26" ht="14.25" customHeight="1">
      <c r="A911" s="141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</row>
    <row r="912" spans="1:26" ht="14.25" customHeight="1">
      <c r="A912" s="141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</row>
    <row r="913" spans="1:26" ht="14.25" customHeight="1">
      <c r="A913" s="141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</row>
    <row r="914" spans="1:26" ht="14.25" customHeight="1">
      <c r="A914" s="141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</row>
    <row r="915" spans="1:26" ht="14.25" customHeight="1">
      <c r="A915" s="141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</row>
    <row r="916" spans="1:26" ht="14.25" customHeight="1">
      <c r="A916" s="141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</row>
    <row r="917" spans="1:26" ht="14.25" customHeight="1">
      <c r="A917" s="141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</row>
    <row r="918" spans="1:26" ht="14.25" customHeight="1">
      <c r="A918" s="141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</row>
    <row r="919" spans="1:26" ht="14.25" customHeight="1">
      <c r="A919" s="141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</row>
    <row r="920" spans="1:26" ht="14.25" customHeight="1">
      <c r="A920" s="141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</row>
    <row r="921" spans="1:26" ht="14.25" customHeight="1">
      <c r="A921" s="141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</row>
    <row r="922" spans="1:26" ht="14.25" customHeight="1">
      <c r="A922" s="141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</row>
    <row r="923" spans="1:26" ht="14.25" customHeight="1">
      <c r="A923" s="141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</row>
    <row r="924" spans="1:26" ht="14.25" customHeight="1">
      <c r="A924" s="141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</row>
    <row r="925" spans="1:26" ht="14.25" customHeight="1">
      <c r="A925" s="141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</row>
    <row r="926" spans="1:26" ht="14.25" customHeight="1">
      <c r="A926" s="141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</row>
    <row r="927" spans="1:26" ht="14.25" customHeight="1">
      <c r="A927" s="141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</row>
    <row r="928" spans="1:26" ht="14.25" customHeight="1">
      <c r="A928" s="141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</row>
    <row r="929" spans="1:26" ht="14.25" customHeight="1">
      <c r="A929" s="141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</row>
    <row r="930" spans="1:26" ht="14.25" customHeight="1">
      <c r="A930" s="141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</row>
    <row r="931" spans="1:26" ht="14.25" customHeight="1">
      <c r="A931" s="141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</row>
    <row r="932" spans="1:26" ht="14.25" customHeight="1">
      <c r="A932" s="141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</row>
    <row r="933" spans="1:26" ht="14.25" customHeight="1">
      <c r="A933" s="141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</row>
    <row r="934" spans="1:26" ht="14.25" customHeight="1">
      <c r="A934" s="141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</row>
    <row r="935" spans="1:26" ht="14.25" customHeight="1">
      <c r="A935" s="141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</row>
    <row r="936" spans="1:26" ht="14.25" customHeight="1">
      <c r="A936" s="141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</row>
    <row r="937" spans="1:26" ht="14.25" customHeight="1">
      <c r="A937" s="141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</row>
    <row r="938" spans="1:26" ht="14.25" customHeight="1">
      <c r="A938" s="141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</row>
    <row r="939" spans="1:26" ht="14.25" customHeight="1">
      <c r="A939" s="141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</row>
    <row r="940" spans="1:26" ht="14.25" customHeight="1">
      <c r="A940" s="141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</row>
    <row r="941" spans="1:26" ht="14.25" customHeight="1">
      <c r="A941" s="141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</row>
    <row r="942" spans="1:26" ht="14.25" customHeight="1">
      <c r="A942" s="141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</row>
    <row r="943" spans="1:26" ht="14.25" customHeight="1">
      <c r="A943" s="141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</row>
    <row r="944" spans="1:26" ht="14.25" customHeight="1">
      <c r="A944" s="141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</row>
    <row r="945" spans="1:26" ht="14.25" customHeight="1">
      <c r="A945" s="141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</row>
    <row r="946" spans="1:26" ht="14.25" customHeight="1">
      <c r="A946" s="141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</row>
    <row r="947" spans="1:26" ht="14.25" customHeight="1">
      <c r="A947" s="141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</row>
    <row r="948" spans="1:26" ht="14.25" customHeight="1">
      <c r="A948" s="141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</row>
    <row r="949" spans="1:26" ht="14.25" customHeight="1">
      <c r="A949" s="141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</row>
    <row r="950" spans="1:26" ht="14.25" customHeight="1">
      <c r="A950" s="141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</row>
    <row r="951" spans="1:26" ht="14.25" customHeight="1">
      <c r="A951" s="141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</row>
    <row r="952" spans="1:26" ht="14.25" customHeight="1">
      <c r="A952" s="141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</row>
    <row r="953" spans="1:26" ht="14.25" customHeight="1">
      <c r="A953" s="141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</row>
    <row r="954" spans="1:26" ht="14.25" customHeight="1">
      <c r="A954" s="141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</row>
    <row r="955" spans="1:26" ht="14.25" customHeight="1">
      <c r="A955" s="141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</row>
    <row r="956" spans="1:26" ht="14.25" customHeight="1">
      <c r="A956" s="141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</row>
    <row r="957" spans="1:26" ht="14.25" customHeight="1">
      <c r="A957" s="141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</row>
    <row r="958" spans="1:26" ht="14.25" customHeight="1">
      <c r="A958" s="141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</row>
    <row r="959" spans="1:26" ht="14.25" customHeight="1">
      <c r="A959" s="141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</row>
    <row r="960" spans="1:26" ht="14.25" customHeight="1">
      <c r="A960" s="141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</row>
    <row r="961" spans="1:26" ht="14.25" customHeight="1">
      <c r="A961" s="141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</row>
    <row r="962" spans="1:26" ht="14.25" customHeight="1">
      <c r="A962" s="141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</row>
    <row r="963" spans="1:26" ht="14.25" customHeight="1">
      <c r="A963" s="141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</row>
    <row r="964" spans="1:26" ht="14.25" customHeight="1">
      <c r="A964" s="141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</row>
    <row r="965" spans="1:26" ht="14.25" customHeight="1">
      <c r="A965" s="141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</row>
    <row r="966" spans="1:26" ht="14.25" customHeight="1">
      <c r="A966" s="141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</row>
    <row r="967" spans="1:26" ht="14.25" customHeight="1">
      <c r="A967" s="141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</row>
    <row r="968" spans="1:26" ht="14.25" customHeight="1">
      <c r="A968" s="141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</row>
    <row r="969" spans="1:26" ht="14.25" customHeight="1">
      <c r="A969" s="141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</row>
    <row r="970" spans="1:26" ht="14.25" customHeight="1">
      <c r="A970" s="141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</row>
    <row r="971" spans="1:26" ht="14.25" customHeight="1">
      <c r="A971" s="141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</row>
    <row r="972" spans="1:26" ht="14.25" customHeight="1">
      <c r="A972" s="141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</row>
    <row r="973" spans="1:26" ht="14.25" customHeight="1">
      <c r="A973" s="141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</row>
    <row r="974" spans="1:26" ht="14.25" customHeight="1">
      <c r="A974" s="141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</row>
    <row r="975" spans="1:26" ht="14.25" customHeight="1">
      <c r="A975" s="141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</row>
    <row r="976" spans="1:26" ht="14.25" customHeight="1">
      <c r="A976" s="141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</row>
    <row r="977" spans="1:26" ht="14.25" customHeight="1">
      <c r="A977" s="141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</row>
    <row r="978" spans="1:26" ht="14.25" customHeight="1">
      <c r="A978" s="141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</row>
    <row r="979" spans="1:26" ht="14.25" customHeight="1">
      <c r="A979" s="141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</row>
    <row r="980" spans="1:26" ht="14.25" customHeight="1">
      <c r="A980" s="141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</row>
    <row r="981" spans="1:26" ht="14.25" customHeight="1">
      <c r="A981" s="141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</row>
    <row r="982" spans="1:26" ht="14.25" customHeight="1">
      <c r="A982" s="141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</row>
    <row r="983" spans="1:26" ht="14.25" customHeight="1">
      <c r="A983" s="141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</row>
    <row r="984" spans="1:26" ht="14.25" customHeight="1">
      <c r="A984" s="141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</row>
    <row r="985" spans="1:26" ht="14.25" customHeight="1">
      <c r="A985" s="141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</row>
    <row r="986" spans="1:26" ht="14.25" customHeight="1">
      <c r="A986" s="141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</row>
    <row r="987" spans="1:26" ht="14.25" customHeight="1">
      <c r="A987" s="141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</row>
    <row r="988" spans="1:26" ht="14.25" customHeight="1">
      <c r="A988" s="141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</row>
    <row r="989" spans="1:26" ht="14.25" customHeight="1">
      <c r="A989" s="141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</row>
    <row r="990" spans="1:26" ht="14.25" customHeight="1">
      <c r="A990" s="141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</row>
    <row r="991" spans="1:26" ht="14.25" customHeight="1">
      <c r="A991" s="141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</row>
    <row r="992" spans="1:26" ht="14.25" customHeight="1">
      <c r="A992" s="141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</row>
    <row r="993" spans="1:26" ht="14.25" customHeight="1">
      <c r="A993" s="141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</row>
    <row r="994" spans="1:26" ht="14.25" customHeight="1">
      <c r="A994" s="141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</row>
    <row r="995" spans="1:26" ht="14.25" customHeight="1">
      <c r="A995" s="141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</row>
    <row r="996" spans="1:26" ht="14.25" customHeight="1">
      <c r="A996" s="141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</row>
    <row r="997" spans="1:26" ht="14.25" customHeight="1">
      <c r="A997" s="141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</row>
    <row r="998" spans="1:26" ht="14.25" customHeight="1">
      <c r="A998" s="141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</row>
    <row r="999" spans="1:26" ht="14.25" customHeight="1">
      <c r="A999" s="141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</row>
    <row r="1000" spans="1:26" ht="14.25" customHeight="1">
      <c r="A1000" s="141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</row>
  </sheetData>
  <mergeCells count="11">
    <mergeCell ref="A32:C32"/>
    <mergeCell ref="A34:B34"/>
    <mergeCell ref="A36:B36"/>
    <mergeCell ref="A1:C1"/>
    <mergeCell ref="A2:C2"/>
    <mergeCell ref="A4:B4"/>
    <mergeCell ref="D5:E5"/>
    <mergeCell ref="A23:C23"/>
    <mergeCell ref="A24:C24"/>
    <mergeCell ref="A26:B26"/>
    <mergeCell ref="A31:C31"/>
  </mergeCells>
  <dataValidations count="1">
    <dataValidation type="list" allowBlank="1" showErrorMessage="1" sqref="C4 C34" xr:uid="{00000000-0002-0000-0500-000000000000}">
      <formula1>"1,2,3"</formula1>
    </dataValidation>
  </dataValidation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36"/>
  <sheetViews>
    <sheetView view="pageBreakPreview" zoomScale="115" zoomScaleNormal="100" zoomScaleSheetLayoutView="115" workbookViewId="0">
      <selection activeCell="F17" sqref="F17"/>
    </sheetView>
  </sheetViews>
  <sheetFormatPr defaultColWidth="14.42578125" defaultRowHeight="15" customHeight="1"/>
  <cols>
    <col min="3" max="3" width="24.7109375" hidden="1" customWidth="1"/>
    <col min="4" max="4" width="24.7109375" customWidth="1"/>
  </cols>
  <sheetData>
    <row r="1" spans="1:20">
      <c r="A1" s="289"/>
      <c r="B1" s="290"/>
      <c r="C1" s="290"/>
      <c r="D1" s="291"/>
      <c r="E1" s="292" t="s">
        <v>397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63" t="s">
        <v>398</v>
      </c>
    </row>
    <row r="2" spans="1:20" ht="31.5" customHeight="1" thickBot="1">
      <c r="A2" s="288" t="s">
        <v>359</v>
      </c>
      <c r="B2" s="294"/>
      <c r="C2" s="295" t="s">
        <v>399</v>
      </c>
      <c r="D2" s="295" t="s">
        <v>66</v>
      </c>
      <c r="E2" s="296">
        <v>1</v>
      </c>
      <c r="F2" s="296">
        <v>2</v>
      </c>
      <c r="G2" s="296">
        <v>3</v>
      </c>
      <c r="H2" s="296">
        <v>4</v>
      </c>
      <c r="I2" s="296">
        <v>5</v>
      </c>
      <c r="J2" s="296">
        <v>6</v>
      </c>
      <c r="K2" s="296">
        <v>7</v>
      </c>
      <c r="L2" s="296">
        <v>8</v>
      </c>
      <c r="M2" s="296">
        <v>9</v>
      </c>
      <c r="N2" s="296">
        <v>10</v>
      </c>
      <c r="O2" s="296">
        <v>11</v>
      </c>
      <c r="P2" s="296">
        <v>12</v>
      </c>
      <c r="Q2" s="296">
        <v>13</v>
      </c>
      <c r="R2" s="296">
        <v>14</v>
      </c>
      <c r="S2" s="296">
        <v>15</v>
      </c>
      <c r="T2" s="264"/>
    </row>
    <row r="3" spans="1:20">
      <c r="A3" s="298" t="str">
        <f>'PESM Itutinga Piloes pt1'!C1</f>
        <v>PESM Itutinga Pilões pt.1</v>
      </c>
      <c r="B3" s="277" t="s">
        <v>277</v>
      </c>
      <c r="C3" s="277">
        <f>SUMIF('PESM Itutinga Piloes pt1'!A:A,Cronograma!B3,'PESM Itutinga Piloes pt1'!K:K)</f>
        <v>132</v>
      </c>
      <c r="D3" s="278" t="str">
        <f>VLOOKUP(B3,'PESM Itutinga Piloes pt1'!A:H,3,FALSE)</f>
        <v>IMPLANTAÇÃO GERAL</v>
      </c>
      <c r="E3" s="279">
        <f t="shared" ref="E3:H3" si="0">$T$3/4</f>
        <v>0</v>
      </c>
      <c r="F3" s="279">
        <f t="shared" si="0"/>
        <v>0</v>
      </c>
      <c r="G3" s="279">
        <f t="shared" si="0"/>
        <v>0</v>
      </c>
      <c r="H3" s="279">
        <f t="shared" si="0"/>
        <v>0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>
        <f>SUMIF('PESM Itutinga Piloes pt1'!A:A,Cronograma!B3,'PESM Itutinga Piloes pt1'!G:G)</f>
        <v>0</v>
      </c>
    </row>
    <row r="4" spans="1:20">
      <c r="A4" s="299"/>
      <c r="B4" s="150" t="s">
        <v>281</v>
      </c>
      <c r="C4" s="150">
        <f>SUMIF('PESM Itutinga Piloes pt1'!A:A,Cronograma!B4,'PESM Itutinga Piloes pt1'!K:K)</f>
        <v>27</v>
      </c>
      <c r="D4" s="151" t="str">
        <f>VLOOKUP(B4,'PESM Itutinga Piloes pt1'!A:H,3,FALSE)</f>
        <v>EDIFICAÇÃO 1 - Gleba A01</v>
      </c>
      <c r="E4" s="152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4">
        <f>$T$4</f>
        <v>0</v>
      </c>
      <c r="Q4" s="155"/>
      <c r="R4" s="155"/>
      <c r="S4" s="154"/>
      <c r="T4" s="270">
        <f>SUMIF('PESM Itutinga Piloes pt1'!A:A,Cronograma!B4,'PESM Itutinga Piloes pt1'!G:G)</f>
        <v>0</v>
      </c>
    </row>
    <row r="5" spans="1:20">
      <c r="A5" s="299"/>
      <c r="B5" s="156" t="s">
        <v>292</v>
      </c>
      <c r="C5" s="156">
        <f>SUMIF('PESM Itutinga Piloes pt1'!A:A,Cronograma!B5,'PESM Itutinga Piloes pt1'!K:K)</f>
        <v>47</v>
      </c>
      <c r="D5" s="147" t="str">
        <f>VLOOKUP(B5,'PESM Itutinga Piloes pt1'!A:H,3,FALSE)</f>
        <v>EDIFICAÇÃO 2 - Gleba A02</v>
      </c>
      <c r="E5" s="148"/>
      <c r="F5" s="148"/>
      <c r="G5" s="148"/>
      <c r="H5" s="149"/>
      <c r="I5" s="149"/>
      <c r="J5" s="149"/>
      <c r="K5" s="149"/>
      <c r="L5" s="149"/>
      <c r="M5" s="148">
        <f t="shared" ref="M5:N5" si="1">$T$5/2</f>
        <v>0</v>
      </c>
      <c r="N5" s="148">
        <f t="shared" si="1"/>
        <v>0</v>
      </c>
      <c r="O5" s="148"/>
      <c r="P5" s="149"/>
      <c r="Q5" s="149"/>
      <c r="R5" s="149"/>
      <c r="S5" s="149"/>
      <c r="T5" s="282">
        <f>SUMIF('PESM Itutinga Piloes pt1'!A:A,Cronograma!B5,'PESM Itutinga Piloes pt1'!G:G)</f>
        <v>0</v>
      </c>
    </row>
    <row r="6" spans="1:20">
      <c r="A6" s="299"/>
      <c r="B6" s="59" t="s">
        <v>294</v>
      </c>
      <c r="C6" s="59">
        <f>SUMIF('PESM Itutinga Piloes pt1'!A:A,Cronograma!B6,'PESM Itutinga Piloes pt1'!K:K)</f>
        <v>54</v>
      </c>
      <c r="D6" s="151" t="str">
        <f>VLOOKUP(B6,'PESM Itutinga Piloes pt1'!A:H,3,FALSE)</f>
        <v>EDIFICAÇÃO 3 - Gleba A03</v>
      </c>
      <c r="E6" s="152"/>
      <c r="F6" s="152"/>
      <c r="G6" s="152">
        <f t="shared" ref="G6:H6" si="2">$T$6/2</f>
        <v>0</v>
      </c>
      <c r="H6" s="152">
        <f t="shared" si="2"/>
        <v>0</v>
      </c>
      <c r="I6" s="152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270">
        <f>SUMIF('PESM Itutinga Piloes pt1'!A:A,Cronograma!B6,'PESM Itutinga Piloes pt1'!G:G)</f>
        <v>0</v>
      </c>
    </row>
    <row r="7" spans="1:20">
      <c r="A7" s="299"/>
      <c r="B7" s="156" t="s">
        <v>296</v>
      </c>
      <c r="C7" s="156">
        <f>SUMIF('PESM Itutinga Piloes pt1'!A:A,Cronograma!B7,'PESM Itutinga Piloes pt1'!K:K)</f>
        <v>121</v>
      </c>
      <c r="D7" s="147" t="str">
        <f>VLOOKUP(B7,'PESM Itutinga Piloes pt1'!A:H,3,FALSE)</f>
        <v>EDIFICAÇÃO 4 - Gleba A04</v>
      </c>
      <c r="E7" s="148"/>
      <c r="F7" s="148"/>
      <c r="G7" s="148"/>
      <c r="H7" s="148">
        <f t="shared" ref="H7:K7" si="3">$T$7/4</f>
        <v>0</v>
      </c>
      <c r="I7" s="148">
        <f t="shared" si="3"/>
        <v>0</v>
      </c>
      <c r="J7" s="148">
        <f t="shared" si="3"/>
        <v>0</v>
      </c>
      <c r="K7" s="148">
        <f t="shared" si="3"/>
        <v>0</v>
      </c>
      <c r="L7" s="148"/>
      <c r="M7" s="149"/>
      <c r="N7" s="149"/>
      <c r="O7" s="149"/>
      <c r="P7" s="149"/>
      <c r="Q7" s="149"/>
      <c r="R7" s="149"/>
      <c r="S7" s="149"/>
      <c r="T7" s="282">
        <f>SUMIF('PESM Itutinga Piloes pt1'!A:A,Cronograma!B7,'PESM Itutinga Piloes pt1'!G:G)</f>
        <v>0</v>
      </c>
    </row>
    <row r="8" spans="1:20">
      <c r="A8" s="299"/>
      <c r="B8" s="59" t="s">
        <v>298</v>
      </c>
      <c r="C8" s="59">
        <f>SUMIF('PESM Itutinga Piloes pt1'!A:A,Cronograma!B8,'PESM Itutinga Piloes pt1'!K:K)</f>
        <v>31</v>
      </c>
      <c r="D8" s="151" t="str">
        <f>VLOOKUP(B8,'PESM Itutinga Piloes pt1'!A:H,3,FALSE)</f>
        <v>EDIFICAÇÃO 5 - Gleba C29</v>
      </c>
      <c r="E8" s="152"/>
      <c r="F8" s="152"/>
      <c r="G8" s="152">
        <f>$T$8</f>
        <v>0</v>
      </c>
      <c r="H8" s="152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270">
        <f>SUMIF('PESM Itutinga Piloes pt1'!A:A,Cronograma!B8,'PESM Itutinga Piloes pt1'!G:G)</f>
        <v>0</v>
      </c>
    </row>
    <row r="9" spans="1:20">
      <c r="A9" s="299"/>
      <c r="B9" s="156" t="s">
        <v>300</v>
      </c>
      <c r="C9" s="156">
        <f>SUMIF('PESM Itutinga Piloes pt1'!A:A,Cronograma!B9,'PESM Itutinga Piloes pt1'!K:K)</f>
        <v>31</v>
      </c>
      <c r="D9" s="147" t="str">
        <f>VLOOKUP(B9,'PESM Itutinga Piloes pt1'!A:H,3,FALSE)</f>
        <v>EDIFICAÇÃO 6 - Gleba D02</v>
      </c>
      <c r="E9" s="148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57">
        <f>$T$9</f>
        <v>0</v>
      </c>
      <c r="Q9" s="157"/>
      <c r="R9" s="157"/>
      <c r="S9" s="157"/>
      <c r="T9" s="282">
        <f>SUMIF('PESM Itutinga Piloes pt1'!A:A,Cronograma!B9,'PESM Itutinga Piloes pt1'!G:G)</f>
        <v>0</v>
      </c>
    </row>
    <row r="10" spans="1:20">
      <c r="A10" s="299"/>
      <c r="B10" s="59" t="s">
        <v>302</v>
      </c>
      <c r="C10" s="59">
        <f>SUMIF('PESM Itutinga Piloes pt1'!A:A,Cronograma!B10,'PESM Itutinga Piloes pt1'!K:K)</f>
        <v>163</v>
      </c>
      <c r="D10" s="151" t="str">
        <f>VLOOKUP(B10,'PESM Itutinga Piloes pt1'!A:H,3,FALSE)</f>
        <v>EDIFICAÇÃO 7 - Gleba D03</v>
      </c>
      <c r="E10" s="152"/>
      <c r="F10" s="152"/>
      <c r="G10" s="152"/>
      <c r="H10" s="158"/>
      <c r="I10" s="152">
        <f t="shared" ref="I10:M10" si="4">$T$10/5</f>
        <v>0</v>
      </c>
      <c r="J10" s="152">
        <f t="shared" si="4"/>
        <v>0</v>
      </c>
      <c r="K10" s="152">
        <f t="shared" si="4"/>
        <v>0</v>
      </c>
      <c r="L10" s="152">
        <f t="shared" si="4"/>
        <v>0</v>
      </c>
      <c r="M10" s="152">
        <f t="shared" si="4"/>
        <v>0</v>
      </c>
      <c r="N10" s="153"/>
      <c r="O10" s="153"/>
      <c r="P10" s="153"/>
      <c r="Q10" s="153"/>
      <c r="R10" s="153"/>
      <c r="S10" s="153"/>
      <c r="T10" s="270">
        <f>SUMIF('PESM Itutinga Piloes pt1'!A:A,Cronograma!B10,'PESM Itutinga Piloes pt1'!G:G)</f>
        <v>0</v>
      </c>
    </row>
    <row r="11" spans="1:20">
      <c r="A11" s="299"/>
      <c r="B11" s="156" t="s">
        <v>304</v>
      </c>
      <c r="C11" s="156">
        <f>SUMIF('PESM Itutinga Piloes pt1'!A:A,Cronograma!B11,'PESM Itutinga Piloes pt1'!K:K)</f>
        <v>47</v>
      </c>
      <c r="D11" s="147" t="str">
        <f>VLOOKUP(B11,'PESM Itutinga Piloes pt1'!A:H,3,FALSE)</f>
        <v>EDIFICAÇÃO 8 - Gleba D06</v>
      </c>
      <c r="E11" s="148"/>
      <c r="F11" s="148"/>
      <c r="G11" s="148">
        <f t="shared" ref="G11:H11" si="5">$T$11/2</f>
        <v>0</v>
      </c>
      <c r="H11" s="148">
        <f t="shared" si="5"/>
        <v>0</v>
      </c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282">
        <f>SUMIF('PESM Itutinga Piloes pt1'!A:A,Cronograma!B11,'PESM Itutinga Piloes pt1'!G:G)</f>
        <v>0</v>
      </c>
    </row>
    <row r="12" spans="1:20">
      <c r="A12" s="299"/>
      <c r="B12" s="59" t="s">
        <v>306</v>
      </c>
      <c r="C12" s="59">
        <f>SUMIF('PESM Itutinga Piloes pt1'!A:A,Cronograma!B12,'PESM Itutinga Piloes pt1'!K:K)</f>
        <v>93</v>
      </c>
      <c r="D12" s="151" t="str">
        <f>VLOOKUP(B12,'PESM Itutinga Piloes pt1'!A:H,3,FALSE)</f>
        <v>EDIFICAÇÃO 9 - Gleba D07</v>
      </c>
      <c r="E12" s="152"/>
      <c r="F12" s="152">
        <f t="shared" ref="F12:H12" si="6">$T$12/3</f>
        <v>0</v>
      </c>
      <c r="G12" s="152">
        <f t="shared" si="6"/>
        <v>0</v>
      </c>
      <c r="H12" s="152">
        <f t="shared" si="6"/>
        <v>0</v>
      </c>
      <c r="I12" s="152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270">
        <f>SUMIF('PESM Itutinga Piloes pt1'!A:A,Cronograma!B12,'PESM Itutinga Piloes pt1'!G:G)</f>
        <v>0</v>
      </c>
    </row>
    <row r="13" spans="1:20">
      <c r="A13" s="299"/>
      <c r="B13" s="156" t="s">
        <v>308</v>
      </c>
      <c r="C13" s="156">
        <f>SUMIF('PESM Itutinga Piloes pt1'!A:A,Cronograma!B13,'PESM Itutinga Piloes pt1'!K:K)</f>
        <v>144</v>
      </c>
      <c r="D13" s="147" t="str">
        <f>VLOOKUP(B13,'PESM Itutinga Piloes pt1'!A:H,3,FALSE)</f>
        <v>EDIFICAÇÃO 10 - Gleba D10</v>
      </c>
      <c r="E13" s="148"/>
      <c r="F13" s="148"/>
      <c r="G13" s="148"/>
      <c r="H13" s="148"/>
      <c r="I13" s="148"/>
      <c r="J13" s="148"/>
      <c r="K13" s="148"/>
      <c r="L13" s="148">
        <f t="shared" ref="L13:P13" si="7">$T$13/5</f>
        <v>0</v>
      </c>
      <c r="M13" s="148">
        <f t="shared" si="7"/>
        <v>0</v>
      </c>
      <c r="N13" s="148">
        <f t="shared" si="7"/>
        <v>0</v>
      </c>
      <c r="O13" s="148">
        <f t="shared" si="7"/>
        <v>0</v>
      </c>
      <c r="P13" s="148">
        <f t="shared" si="7"/>
        <v>0</v>
      </c>
      <c r="Q13" s="148"/>
      <c r="R13" s="148"/>
      <c r="S13" s="148"/>
      <c r="T13" s="282">
        <f>SUMIF('PESM Itutinga Piloes pt1'!A:A,Cronograma!B13,'PESM Itutinga Piloes pt1'!G:G)</f>
        <v>0</v>
      </c>
    </row>
    <row r="14" spans="1:20">
      <c r="A14" s="299"/>
      <c r="B14" s="26" t="s">
        <v>310</v>
      </c>
      <c r="C14" s="26">
        <f>SUMIF('PESM Itutinga Piloes pt1'!A:A,Cronograma!B14,'PESM Itutinga Piloes pt1'!K:K)</f>
        <v>119</v>
      </c>
      <c r="D14" s="159" t="str">
        <f>VLOOKUP(B14,'PESM Itutinga Piloes pt1'!A:H,3,FALSE)</f>
        <v>EDIFICAÇÃO 11 - Gleba D11</v>
      </c>
      <c r="E14" s="152"/>
      <c r="F14" s="152"/>
      <c r="G14" s="152"/>
      <c r="H14" s="152"/>
      <c r="I14" s="152"/>
      <c r="J14" s="152"/>
      <c r="K14" s="153"/>
      <c r="L14" s="153"/>
      <c r="M14" s="152"/>
      <c r="N14" s="152"/>
      <c r="O14" s="152"/>
      <c r="P14" s="152">
        <f t="shared" ref="P14:S14" si="8">$T$14/4</f>
        <v>0</v>
      </c>
      <c r="Q14" s="152">
        <f t="shared" si="8"/>
        <v>0</v>
      </c>
      <c r="R14" s="152">
        <f t="shared" si="8"/>
        <v>0</v>
      </c>
      <c r="S14" s="152">
        <f t="shared" si="8"/>
        <v>0</v>
      </c>
      <c r="T14" s="270">
        <f>SUMIF('PESM Itutinga Piloes pt1'!A:A,Cronograma!B14,'PESM Itutinga Piloes pt1'!G:G)</f>
        <v>0</v>
      </c>
    </row>
    <row r="15" spans="1:20">
      <c r="A15" s="299"/>
      <c r="B15" s="156" t="s">
        <v>312</v>
      </c>
      <c r="C15" s="156">
        <f>SUMIF('PESM Itutinga Piloes pt1'!A:A,Cronograma!B15,'PESM Itutinga Piloes pt1'!K:K)</f>
        <v>28</v>
      </c>
      <c r="D15" s="147" t="str">
        <f>VLOOKUP(B15,'PESM Itutinga Piloes pt1'!A:H,3,FALSE)</f>
        <v>EDIFICAÇÃO 12 - Gleba D12</v>
      </c>
      <c r="E15" s="148"/>
      <c r="F15" s="148"/>
      <c r="G15" s="149"/>
      <c r="H15" s="149"/>
      <c r="I15" s="149"/>
      <c r="J15" s="149"/>
      <c r="K15" s="148">
        <f>$T$15</f>
        <v>0</v>
      </c>
      <c r="L15" s="149"/>
      <c r="M15" s="149"/>
      <c r="N15" s="149"/>
      <c r="O15" s="149"/>
      <c r="P15" s="149"/>
      <c r="Q15" s="149"/>
      <c r="R15" s="149"/>
      <c r="S15" s="149"/>
      <c r="T15" s="282">
        <f>SUMIF('PESM Itutinga Piloes pt1'!A:A,Cronograma!B15,'PESM Itutinga Piloes pt1'!G:G)</f>
        <v>0</v>
      </c>
    </row>
    <row r="16" spans="1:20">
      <c r="A16" s="299"/>
      <c r="B16" s="59" t="s">
        <v>314</v>
      </c>
      <c r="C16" s="59">
        <f>SUMIF('PESM Itutinga Piloes pt1'!A:A,Cronograma!B16,'PESM Itutinga Piloes pt1'!K:K)</f>
        <v>16</v>
      </c>
      <c r="D16" s="151" t="str">
        <f>VLOOKUP(B16,'PESM Itutinga Piloes pt1'!A:H,3,FALSE)</f>
        <v>EDIFICAÇÃO 13 - Gleba D13</v>
      </c>
      <c r="E16" s="152"/>
      <c r="F16" s="160"/>
      <c r="G16" s="153"/>
      <c r="H16" s="153"/>
      <c r="I16" s="153"/>
      <c r="J16" s="153"/>
      <c r="K16" s="153"/>
      <c r="L16" s="153"/>
      <c r="M16" s="153"/>
      <c r="N16" s="153"/>
      <c r="O16" s="153"/>
      <c r="P16" s="152">
        <f>$T$16</f>
        <v>0</v>
      </c>
      <c r="Q16" s="161"/>
      <c r="R16" s="161"/>
      <c r="S16" s="152"/>
      <c r="T16" s="270">
        <f>SUMIF('PESM Itutinga Piloes pt1'!A:A,Cronograma!B16,'PESM Itutinga Piloes pt1'!G:G)</f>
        <v>0</v>
      </c>
    </row>
    <row r="17" spans="1:20">
      <c r="A17" s="299"/>
      <c r="B17" s="156" t="s">
        <v>316</v>
      </c>
      <c r="C17" s="156">
        <f>SUMIF('PESM Itutinga Piloes pt1'!A:A,Cronograma!B17,'PESM Itutinga Piloes pt1'!K:K)</f>
        <v>127</v>
      </c>
      <c r="D17" s="147" t="str">
        <f>VLOOKUP(B17,'PESM Itutinga Piloes pt1'!A:H,3,FALSE)</f>
        <v>EDIFICAÇÃO 14 - Gleba D16</v>
      </c>
      <c r="E17" s="148"/>
      <c r="F17" s="148"/>
      <c r="G17" s="148"/>
      <c r="H17" s="148">
        <f t="shared" ref="H17:K17" si="9">$T$17/4</f>
        <v>0</v>
      </c>
      <c r="I17" s="148">
        <f t="shared" si="9"/>
        <v>0</v>
      </c>
      <c r="J17" s="148">
        <f t="shared" si="9"/>
        <v>0</v>
      </c>
      <c r="K17" s="148">
        <f t="shared" si="9"/>
        <v>0</v>
      </c>
      <c r="L17" s="149"/>
      <c r="M17" s="149"/>
      <c r="N17" s="149"/>
      <c r="O17" s="149"/>
      <c r="P17" s="149"/>
      <c r="Q17" s="149"/>
      <c r="R17" s="149"/>
      <c r="S17" s="149"/>
      <c r="T17" s="282">
        <f>SUMIF('PESM Itutinga Piloes pt1'!A:A,Cronograma!B17,'PESM Itutinga Piloes pt1'!G:G)</f>
        <v>0</v>
      </c>
    </row>
    <row r="18" spans="1:20" ht="15.75" thickBot="1">
      <c r="A18" s="300"/>
      <c r="B18" s="283" t="s">
        <v>318</v>
      </c>
      <c r="C18" s="283">
        <f>SUMIF('PESM Itutinga Piloes pt1'!A:A,Cronograma!B18,'PESM Itutinga Piloes pt1'!K:K)</f>
        <v>117</v>
      </c>
      <c r="D18" s="284" t="str">
        <f>VLOOKUP(B18,'PESM Itutinga Piloes pt1'!A:H,3,FALSE)</f>
        <v>EDIFICAÇÃO 15 - Gleba D17</v>
      </c>
      <c r="E18" s="285"/>
      <c r="F18" s="285"/>
      <c r="G18" s="285"/>
      <c r="H18" s="285"/>
      <c r="I18" s="285"/>
      <c r="J18" s="285">
        <f t="shared" ref="J18:M18" si="10">$T$18/4</f>
        <v>0</v>
      </c>
      <c r="K18" s="285">
        <f t="shared" si="10"/>
        <v>0</v>
      </c>
      <c r="L18" s="285">
        <f t="shared" si="10"/>
        <v>0</v>
      </c>
      <c r="M18" s="285">
        <f t="shared" si="10"/>
        <v>0</v>
      </c>
      <c r="N18" s="286"/>
      <c r="O18" s="286"/>
      <c r="P18" s="286"/>
      <c r="Q18" s="286"/>
      <c r="R18" s="286"/>
      <c r="S18" s="286"/>
      <c r="T18" s="287">
        <f>SUMIF('PESM Itutinga Piloes pt1'!A:A,Cronograma!B18,'PESM Itutinga Piloes pt1'!G:G)</f>
        <v>0</v>
      </c>
    </row>
    <row r="19" spans="1:20">
      <c r="A19" s="301" t="str">
        <f>'PESM Itutinga Piloes pt2'!C1</f>
        <v>PESM Itutinga Pilões pt.2</v>
      </c>
      <c r="B19" s="265" t="s">
        <v>321</v>
      </c>
      <c r="C19" s="265">
        <f>SUMIF('PESM Itutinga Piloes pt2'!A:A,Cronograma!B19,'PESM Itutinga Piloes pt2'!K:K)</f>
        <v>71</v>
      </c>
      <c r="D19" s="266" t="str">
        <f>VLOOKUP(B19,'PESM Itutinga Piloes pt2'!A:H,3,FALSE)</f>
        <v>EDIFICAÇÃO 16 - Gleba D18</v>
      </c>
      <c r="E19" s="267"/>
      <c r="F19" s="267"/>
      <c r="G19" s="267">
        <f t="shared" ref="G19:I19" si="11">$T$19/3</f>
        <v>0</v>
      </c>
      <c r="H19" s="267">
        <f t="shared" si="11"/>
        <v>0</v>
      </c>
      <c r="I19" s="267">
        <f t="shared" si="11"/>
        <v>0</v>
      </c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9">
        <f>SUMIF('PESM Itutinga Piloes pt2'!A:A,Cronograma!B19,'PESM Itutinga Piloes pt2'!G:G)</f>
        <v>0</v>
      </c>
    </row>
    <row r="20" spans="1:20">
      <c r="A20" s="299"/>
      <c r="B20" s="26" t="s">
        <v>331</v>
      </c>
      <c r="C20" s="26">
        <f>SUMIF('PESM Itutinga Piloes pt2'!A:A,Cronograma!B20,'PESM Itutinga Piloes pt2'!K:K)</f>
        <v>36</v>
      </c>
      <c r="D20" s="159" t="str">
        <f>VLOOKUP(B20,'PESM Itutinga Piloes pt2'!A:H,3,FALSE)</f>
        <v>EDIFICAÇÃO 17 - Gleba D19</v>
      </c>
      <c r="E20" s="152"/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52">
        <f>$T$20</f>
        <v>0</v>
      </c>
      <c r="Q20" s="161"/>
      <c r="R20" s="161"/>
      <c r="S20" s="152"/>
      <c r="T20" s="270">
        <f>SUMIF('PESM Itutinga Piloes pt2'!A:A,Cronograma!B20,'PESM Itutinga Piloes pt2'!G:G)</f>
        <v>0</v>
      </c>
    </row>
    <row r="21" spans="1:20">
      <c r="A21" s="299"/>
      <c r="B21" s="162" t="s">
        <v>333</v>
      </c>
      <c r="C21" s="162">
        <f>SUMIF('PESM Itutinga Piloes pt2'!A:A,Cronograma!B21,'PESM Itutinga Piloes pt2'!K:K)</f>
        <v>94</v>
      </c>
      <c r="D21" s="163" t="str">
        <f>VLOOKUP(B21,'PESM Itutinga Piloes pt2'!A:H,3,FALSE)</f>
        <v>EDIFICAÇÃO 18 - Gleba D21</v>
      </c>
      <c r="E21" s="164"/>
      <c r="F21" s="164"/>
      <c r="G21" s="164"/>
      <c r="H21" s="164"/>
      <c r="I21" s="164"/>
      <c r="J21" s="165"/>
      <c r="K21" s="165"/>
      <c r="L21" s="165"/>
      <c r="M21" s="165"/>
      <c r="N21" s="164"/>
      <c r="O21" s="164"/>
      <c r="P21" s="164">
        <f t="shared" ref="P21:R21" si="12">$T$21/3</f>
        <v>0</v>
      </c>
      <c r="Q21" s="164">
        <f t="shared" si="12"/>
        <v>0</v>
      </c>
      <c r="R21" s="164">
        <f t="shared" si="12"/>
        <v>0</v>
      </c>
      <c r="S21" s="164"/>
      <c r="T21" s="271">
        <f>SUMIF('PESM Itutinga Piloes pt2'!A:A,Cronograma!B21,'PESM Itutinga Piloes pt2'!G:G)</f>
        <v>0</v>
      </c>
    </row>
    <row r="22" spans="1:20">
      <c r="A22" s="299"/>
      <c r="B22" s="26" t="s">
        <v>335</v>
      </c>
      <c r="C22" s="26">
        <f>SUMIF('PESM Itutinga Piloes pt2'!A:A,Cronograma!B22,'PESM Itutinga Piloes pt2'!K:K)</f>
        <v>113</v>
      </c>
      <c r="D22" s="159" t="str">
        <f>VLOOKUP(B22,'PESM Itutinga Piloes pt2'!A:H,3,FALSE)</f>
        <v>EDIFICAÇÃO 19 - Gleba D27</v>
      </c>
      <c r="E22" s="152"/>
      <c r="F22" s="152"/>
      <c r="G22" s="152"/>
      <c r="H22" s="152"/>
      <c r="I22" s="152"/>
      <c r="J22" s="152"/>
      <c r="K22" s="152">
        <f t="shared" ref="K22:N22" si="13">$T$22/6</f>
        <v>0</v>
      </c>
      <c r="L22" s="152">
        <f t="shared" si="13"/>
        <v>0</v>
      </c>
      <c r="M22" s="152">
        <f t="shared" si="13"/>
        <v>0</v>
      </c>
      <c r="N22" s="152">
        <f t="shared" si="13"/>
        <v>0</v>
      </c>
      <c r="O22" s="153"/>
      <c r="P22" s="153"/>
      <c r="Q22" s="153"/>
      <c r="R22" s="153"/>
      <c r="S22" s="153"/>
      <c r="T22" s="270">
        <f>SUMIF('PESM Itutinga Piloes pt2'!A:A,Cronograma!B22,'PESM Itutinga Piloes pt2'!G:G)</f>
        <v>0</v>
      </c>
    </row>
    <row r="23" spans="1:20">
      <c r="A23" s="299"/>
      <c r="B23" s="162" t="s">
        <v>337</v>
      </c>
      <c r="C23" s="162">
        <f>SUMIF('PESM Itutinga Piloes pt2'!A:A,Cronograma!B23,'PESM Itutinga Piloes pt2'!K:K)</f>
        <v>85</v>
      </c>
      <c r="D23" s="163" t="str">
        <f>VLOOKUP(B23,'PESM Itutinga Piloes pt2'!A:H,3,FALSE)</f>
        <v>EDIFICAÇÃO 20 - Gleba D31</v>
      </c>
      <c r="E23" s="164"/>
      <c r="F23" s="164"/>
      <c r="G23" s="164"/>
      <c r="H23" s="164"/>
      <c r="I23" s="164"/>
      <c r="J23" s="165"/>
      <c r="K23" s="165"/>
      <c r="L23" s="165"/>
      <c r="M23" s="165"/>
      <c r="N23" s="164"/>
      <c r="O23" s="164"/>
      <c r="P23" s="164">
        <f t="shared" ref="P23:R23" si="14">$T$23/3</f>
        <v>0</v>
      </c>
      <c r="Q23" s="164">
        <f t="shared" si="14"/>
        <v>0</v>
      </c>
      <c r="R23" s="164">
        <f t="shared" si="14"/>
        <v>0</v>
      </c>
      <c r="S23" s="164"/>
      <c r="T23" s="271">
        <f>SUMIF('PESM Itutinga Piloes pt2'!A:A,Cronograma!B23,'PESM Itutinga Piloes pt2'!G:G)</f>
        <v>0</v>
      </c>
    </row>
    <row r="24" spans="1:20">
      <c r="A24" s="299"/>
      <c r="B24" s="26" t="s">
        <v>339</v>
      </c>
      <c r="C24" s="26">
        <f>SUMIF('PESM Itutinga Piloes pt2'!A:A,Cronograma!B24,'PESM Itutinga Piloes pt2'!K:K)</f>
        <v>15</v>
      </c>
      <c r="D24" s="159" t="str">
        <f>VLOOKUP(B24,'PESM Itutinga Piloes pt2'!A:H,3,FALSE)</f>
        <v>EDIFICAÇÃO 21 - Gleba D32</v>
      </c>
      <c r="E24" s="152"/>
      <c r="F24" s="160"/>
      <c r="G24" s="153"/>
      <c r="H24" s="153"/>
      <c r="I24" s="153"/>
      <c r="J24" s="153"/>
      <c r="K24" s="153"/>
      <c r="L24" s="152">
        <f>$T$24</f>
        <v>0</v>
      </c>
      <c r="M24" s="153"/>
      <c r="N24" s="153"/>
      <c r="O24" s="153"/>
      <c r="P24" s="153"/>
      <c r="Q24" s="153"/>
      <c r="R24" s="153"/>
      <c r="S24" s="153"/>
      <c r="T24" s="270">
        <f>SUMIF('PESM Itutinga Piloes pt2'!A:A,Cronograma!B24,'PESM Itutinga Piloes pt2'!G:G)</f>
        <v>0</v>
      </c>
    </row>
    <row r="25" spans="1:20">
      <c r="A25" s="299"/>
      <c r="B25" s="162" t="s">
        <v>341</v>
      </c>
      <c r="C25" s="162">
        <f>SUMIF('PESM Itutinga Piloes pt2'!A:A,Cronograma!B25,'PESM Itutinga Piloes pt2'!K:K)</f>
        <v>41</v>
      </c>
      <c r="D25" s="163" t="str">
        <f>VLOOKUP(B25,'PESM Itutinga Piloes pt2'!A:H,3,FALSE)</f>
        <v>EDIFICAÇÃO 22 - Gleba D33</v>
      </c>
      <c r="E25" s="164">
        <f t="shared" ref="E25:F25" si="15">$T$25/2</f>
        <v>0</v>
      </c>
      <c r="F25" s="164">
        <f t="shared" si="15"/>
        <v>0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271">
        <f>SUMIF('PESM Itutinga Piloes pt2'!A:A,Cronograma!B25,'PESM Itutinga Piloes pt2'!G:G)</f>
        <v>0</v>
      </c>
    </row>
    <row r="26" spans="1:20">
      <c r="A26" s="299"/>
      <c r="B26" s="26" t="s">
        <v>343</v>
      </c>
      <c r="C26" s="26">
        <f>SUMIF('PESM Itutinga Piloes pt2'!A:A,Cronograma!B26,'PESM Itutinga Piloes pt2'!K:K)</f>
        <v>42</v>
      </c>
      <c r="D26" s="159" t="str">
        <f>VLOOKUP(B26,'PESM Itutinga Piloes pt2'!A:H,3,FALSE)</f>
        <v>EDIFICAÇÃO 23 - Gleba F01</v>
      </c>
      <c r="E26" s="152"/>
      <c r="F26" s="152"/>
      <c r="G26" s="152">
        <f t="shared" ref="G26:H26" si="16">$T$26/2</f>
        <v>0</v>
      </c>
      <c r="H26" s="152">
        <f t="shared" si="16"/>
        <v>0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270">
        <f>SUMIF('PESM Itutinga Piloes pt2'!A:A,Cronograma!B26,'PESM Itutinga Piloes pt2'!G:G)</f>
        <v>0</v>
      </c>
    </row>
    <row r="27" spans="1:20">
      <c r="A27" s="299"/>
      <c r="B27" s="162" t="s">
        <v>345</v>
      </c>
      <c r="C27" s="162">
        <f>SUMIF('PESM Itutinga Piloes pt2'!A:A,Cronograma!B27,'PESM Itutinga Piloes pt2'!K:K)</f>
        <v>45</v>
      </c>
      <c r="D27" s="163" t="str">
        <f>VLOOKUP(B27,'PESM Itutinga Piloes pt2'!A:H,3,FALSE)</f>
        <v>EDIFICAÇÃO 24 - Gleba F03</v>
      </c>
      <c r="E27" s="164"/>
      <c r="F27" s="164">
        <f t="shared" ref="F27:G27" si="17">$T$27/2</f>
        <v>0</v>
      </c>
      <c r="G27" s="164">
        <f t="shared" si="17"/>
        <v>0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271">
        <f>SUMIF('PESM Itutinga Piloes pt2'!A:A,Cronograma!B27,'PESM Itutinga Piloes pt2'!G:G)</f>
        <v>0</v>
      </c>
    </row>
    <row r="28" spans="1:20">
      <c r="A28" s="299"/>
      <c r="B28" s="26" t="s">
        <v>347</v>
      </c>
      <c r="C28" s="26">
        <f>SUMIF('PESM Itutinga Piloes pt2'!A:A,Cronograma!B28,'PESM Itutinga Piloes pt2'!K:K)</f>
        <v>28</v>
      </c>
      <c r="D28" s="159" t="str">
        <f>VLOOKUP(B28,'PESM Itutinga Piloes pt2'!A:H,3,FALSE)</f>
        <v>EDIFICAÇÃO 25 - Gleba F04</v>
      </c>
      <c r="E28" s="152">
        <f t="shared" ref="E28:F28" si="18">$T$28/2</f>
        <v>0</v>
      </c>
      <c r="F28" s="152">
        <f t="shared" si="18"/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270">
        <f>SUMIF('PESM Itutinga Piloes pt2'!A:A,Cronograma!B28,'PESM Itutinga Piloes pt2'!G:G)</f>
        <v>0</v>
      </c>
    </row>
    <row r="29" spans="1:20">
      <c r="A29" s="299"/>
      <c r="B29" s="162" t="s">
        <v>349</v>
      </c>
      <c r="C29" s="162">
        <f>SUMIF('PESM Itutinga Piloes pt2'!A:A,Cronograma!B29,'PESM Itutinga Piloes pt2'!K:K)</f>
        <v>66</v>
      </c>
      <c r="D29" s="163" t="str">
        <f>VLOOKUP(B29,'PESM Itutinga Piloes pt2'!A:H,3,FALSE)</f>
        <v>EDIFICAÇÃO 26 - Gleba F05</v>
      </c>
      <c r="E29" s="164">
        <f t="shared" ref="E29:G29" si="19">$T$29/3</f>
        <v>0</v>
      </c>
      <c r="F29" s="164">
        <f t="shared" si="19"/>
        <v>0</v>
      </c>
      <c r="G29" s="164">
        <f t="shared" si="19"/>
        <v>0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271">
        <f>SUMIF('PESM Itutinga Piloes pt2'!A:A,Cronograma!B29,'PESM Itutinga Piloes pt2'!G:G)</f>
        <v>0</v>
      </c>
    </row>
    <row r="30" spans="1:20">
      <c r="A30" s="299"/>
      <c r="B30" s="26" t="s">
        <v>351</v>
      </c>
      <c r="C30" s="26">
        <f>SUMIF('PESM Itutinga Piloes pt2'!A:A,Cronograma!B30,'PESM Itutinga Piloes pt2'!K:K)</f>
        <v>38</v>
      </c>
      <c r="D30" s="159" t="str">
        <f>VLOOKUP(B30,'PESM Itutinga Piloes pt2'!A:H,3,FALSE)</f>
        <v>EDIFICAÇÃO 27 - Gleba F06</v>
      </c>
      <c r="E30" s="152">
        <f t="shared" ref="E30:F30" si="20">$T$30/2</f>
        <v>0</v>
      </c>
      <c r="F30" s="152">
        <f t="shared" si="20"/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270">
        <f>SUMIF('PESM Itutinga Piloes pt2'!A:A,Cronograma!B30,'PESM Itutinga Piloes pt2'!G:G)</f>
        <v>0</v>
      </c>
    </row>
    <row r="31" spans="1:20" ht="15.75" thickBot="1">
      <c r="A31" s="300"/>
      <c r="B31" s="272" t="s">
        <v>353</v>
      </c>
      <c r="C31" s="272">
        <f>SUMIF('PESM Itutinga Piloes pt2'!A:A,Cronograma!B31,'PESM Itutinga Piloes pt2'!K:K)</f>
        <v>24</v>
      </c>
      <c r="D31" s="273" t="str">
        <f>VLOOKUP(B31,'PESM Itutinga Piloes pt2'!A:H,3,FALSE)</f>
        <v>EDIFICAÇÃO 28 - G01</v>
      </c>
      <c r="E31" s="274"/>
      <c r="F31" s="274">
        <f>$T$31</f>
        <v>0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6">
        <f>SUMIF('PESM Itutinga Piloes pt2'!A:A,Cronograma!B31,'PESM Itutinga Piloes pt2'!G:G)</f>
        <v>0</v>
      </c>
    </row>
    <row r="32" spans="1:20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</row>
    <row r="33" spans="1:20">
      <c r="A33" s="146"/>
      <c r="B33" s="146"/>
      <c r="C33" s="166"/>
      <c r="D33" s="297" t="s">
        <v>400</v>
      </c>
      <c r="E33" s="259">
        <f t="shared" ref="E33:T33" si="21">SUM(E3:E31)</f>
        <v>0</v>
      </c>
      <c r="F33" s="259">
        <f t="shared" si="21"/>
        <v>0</v>
      </c>
      <c r="G33" s="259">
        <f t="shared" si="21"/>
        <v>0</v>
      </c>
      <c r="H33" s="259">
        <f t="shared" si="21"/>
        <v>0</v>
      </c>
      <c r="I33" s="259">
        <f t="shared" si="21"/>
        <v>0</v>
      </c>
      <c r="J33" s="259">
        <f t="shared" si="21"/>
        <v>0</v>
      </c>
      <c r="K33" s="259">
        <f t="shared" si="21"/>
        <v>0</v>
      </c>
      <c r="L33" s="259">
        <f t="shared" si="21"/>
        <v>0</v>
      </c>
      <c r="M33" s="259">
        <f t="shared" si="21"/>
        <v>0</v>
      </c>
      <c r="N33" s="259">
        <f t="shared" si="21"/>
        <v>0</v>
      </c>
      <c r="O33" s="259">
        <f t="shared" si="21"/>
        <v>0</v>
      </c>
      <c r="P33" s="259">
        <f t="shared" si="21"/>
        <v>0</v>
      </c>
      <c r="Q33" s="259">
        <f t="shared" si="21"/>
        <v>0</v>
      </c>
      <c r="R33" s="259">
        <f t="shared" si="21"/>
        <v>0</v>
      </c>
      <c r="S33" s="260">
        <f t="shared" si="21"/>
        <v>0</v>
      </c>
      <c r="T33" s="259">
        <f t="shared" si="21"/>
        <v>0</v>
      </c>
    </row>
    <row r="34" spans="1:20">
      <c r="A34" s="146"/>
      <c r="B34" s="146"/>
      <c r="C34" s="167"/>
      <c r="D34" s="297" t="str">
        <f>'Resumo Geral'!L1</f>
        <v>ADM Local - 8,87%</v>
      </c>
      <c r="E34" s="261">
        <f>E33*'calculo BDI'!$C36</f>
        <v>0</v>
      </c>
      <c r="F34" s="261">
        <f>F33*'calculo BDI'!$C36</f>
        <v>0</v>
      </c>
      <c r="G34" s="261">
        <f>G33*'calculo BDI'!$C36</f>
        <v>0</v>
      </c>
      <c r="H34" s="261">
        <f>H33*'calculo BDI'!$C36</f>
        <v>0</v>
      </c>
      <c r="I34" s="261">
        <f>I33*'calculo BDI'!$C36</f>
        <v>0</v>
      </c>
      <c r="J34" s="261">
        <f>J33*'calculo BDI'!$C36</f>
        <v>0</v>
      </c>
      <c r="K34" s="261">
        <f>K33*'calculo BDI'!$C36</f>
        <v>0</v>
      </c>
      <c r="L34" s="261">
        <f>L33*'calculo BDI'!$C36</f>
        <v>0</v>
      </c>
      <c r="M34" s="261">
        <f>M33*'calculo BDI'!$C36</f>
        <v>0</v>
      </c>
      <c r="N34" s="261">
        <f>N33*'calculo BDI'!$C36</f>
        <v>0</v>
      </c>
      <c r="O34" s="261">
        <f>O33*'calculo BDI'!$C36</f>
        <v>0</v>
      </c>
      <c r="P34" s="261">
        <f>P33*'calculo BDI'!$C36</f>
        <v>0</v>
      </c>
      <c r="Q34" s="261">
        <f>Q33*'calculo BDI'!$C36</f>
        <v>0</v>
      </c>
      <c r="R34" s="261">
        <f>R33*'calculo BDI'!$C36</f>
        <v>0</v>
      </c>
      <c r="S34" s="261">
        <f>S33*'calculo BDI'!$C36</f>
        <v>0</v>
      </c>
      <c r="T34" s="261">
        <f>T33*'calculo BDI'!C$36</f>
        <v>0</v>
      </c>
    </row>
    <row r="35" spans="1:20">
      <c r="A35" s="146"/>
      <c r="B35" s="146"/>
      <c r="C35" s="167"/>
      <c r="D35" s="297" t="str">
        <f>'Resumo Geral'!M1</f>
        <v>BDI - 22,96%</v>
      </c>
      <c r="E35" s="262">
        <f>(E33+E34)*'calculo BDI'!C$26</f>
        <v>0</v>
      </c>
      <c r="F35" s="262">
        <f>(F33+F34)*'calculo BDI'!$C$26</f>
        <v>0</v>
      </c>
      <c r="G35" s="262">
        <f>(G33+G34)*'calculo BDI'!$C$26</f>
        <v>0</v>
      </c>
      <c r="H35" s="262">
        <f>(H33+H34)*'calculo BDI'!$C$26</f>
        <v>0</v>
      </c>
      <c r="I35" s="262">
        <f>(I33+I34)*'calculo BDI'!$C$26</f>
        <v>0</v>
      </c>
      <c r="J35" s="262">
        <f>(J33+J34)*'calculo BDI'!$C$26</f>
        <v>0</v>
      </c>
      <c r="K35" s="262">
        <f>(K33+K34)*'calculo BDI'!$C$26</f>
        <v>0</v>
      </c>
      <c r="L35" s="262">
        <f>(L33+L34)*'calculo BDI'!$C$26</f>
        <v>0</v>
      </c>
      <c r="M35" s="262">
        <f>(M33+M34)*'calculo BDI'!$C$26</f>
        <v>0</v>
      </c>
      <c r="N35" s="262">
        <f>(N33+N34)*'calculo BDI'!$C$26</f>
        <v>0</v>
      </c>
      <c r="O35" s="262">
        <f>(O33+O34)*'calculo BDI'!$C$26</f>
        <v>0</v>
      </c>
      <c r="P35" s="262">
        <f>(P33+P34)*'calculo BDI'!$C$26</f>
        <v>0</v>
      </c>
      <c r="Q35" s="262">
        <f>(Q33+Q34)*'calculo BDI'!$C$26</f>
        <v>0</v>
      </c>
      <c r="R35" s="262">
        <f>(R33+R34)*'calculo BDI'!$C$26</f>
        <v>0</v>
      </c>
      <c r="S35" s="262">
        <f>(S33+S34)*'calculo BDI'!$C$26</f>
        <v>0</v>
      </c>
      <c r="T35" s="262">
        <f>(T33+T34)*'calculo BDI'!C$26</f>
        <v>0</v>
      </c>
    </row>
    <row r="36" spans="1:20">
      <c r="A36" s="146"/>
      <c r="B36" s="146"/>
      <c r="C36" s="166"/>
      <c r="D36" s="297" t="s">
        <v>361</v>
      </c>
      <c r="E36" s="259">
        <f t="shared" ref="E36:T36" si="22">SUM(E33:E35)</f>
        <v>0</v>
      </c>
      <c r="F36" s="259">
        <f t="shared" si="22"/>
        <v>0</v>
      </c>
      <c r="G36" s="259">
        <f t="shared" si="22"/>
        <v>0</v>
      </c>
      <c r="H36" s="259">
        <f t="shared" si="22"/>
        <v>0</v>
      </c>
      <c r="I36" s="259">
        <f t="shared" si="22"/>
        <v>0</v>
      </c>
      <c r="J36" s="259">
        <f t="shared" si="22"/>
        <v>0</v>
      </c>
      <c r="K36" s="259">
        <f t="shared" si="22"/>
        <v>0</v>
      </c>
      <c r="L36" s="259">
        <f t="shared" si="22"/>
        <v>0</v>
      </c>
      <c r="M36" s="259">
        <f t="shared" si="22"/>
        <v>0</v>
      </c>
      <c r="N36" s="259">
        <f t="shared" si="22"/>
        <v>0</v>
      </c>
      <c r="O36" s="259">
        <f t="shared" si="22"/>
        <v>0</v>
      </c>
      <c r="P36" s="259">
        <f t="shared" si="22"/>
        <v>0</v>
      </c>
      <c r="Q36" s="259">
        <f t="shared" si="22"/>
        <v>0</v>
      </c>
      <c r="R36" s="259">
        <f t="shared" si="22"/>
        <v>0</v>
      </c>
      <c r="S36" s="259">
        <f t="shared" si="22"/>
        <v>0</v>
      </c>
      <c r="T36" s="259">
        <f t="shared" si="22"/>
        <v>0</v>
      </c>
    </row>
  </sheetData>
  <mergeCells count="5">
    <mergeCell ref="T1:T2"/>
    <mergeCell ref="A3:A18"/>
    <mergeCell ref="A19:A31"/>
    <mergeCell ref="E1:S1"/>
    <mergeCell ref="A1:D1"/>
  </mergeCells>
  <pageMargins left="0.511811024" right="0.511811024" top="0.78740157499999996" bottom="0.78740157499999996" header="0.31496062000000002" footer="0.31496062000000002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Composição dos serv</vt:lpstr>
      <vt:lpstr>PESM Itutinga Piloes pt1</vt:lpstr>
      <vt:lpstr>PESM Itutinga Piloes pt2</vt:lpstr>
      <vt:lpstr>Resumo Unit</vt:lpstr>
      <vt:lpstr>Resumo Geral</vt:lpstr>
      <vt:lpstr>calculo BDI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Markus Vinicius Trevisan</cp:lastModifiedBy>
  <dcterms:created xsi:type="dcterms:W3CDTF">2018-06-26T22:17:26Z</dcterms:created>
  <dcterms:modified xsi:type="dcterms:W3CDTF">2023-12-07T19:23:34Z</dcterms:modified>
</cp:coreProperties>
</file>