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oes\LICITAÇÕES 2023\TOMADA DE PREÇOS\262.000025182023-10 - Recuperação estrutural da edificação Casarão - FEENA\EDITAL\"/>
    </mc:Choice>
  </mc:AlternateContent>
  <xr:revisionPtr revIDLastSave="0" documentId="8_{DE39213F-CCE6-4B94-A923-A20B8386CF6E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Cronograma (2)" sheetId="2" state="hidden" r:id="rId1"/>
    <sheet name="Cronograma (3)" sheetId="3" r:id="rId2"/>
  </sheets>
  <definedNames>
    <definedName name="_xlnm.Print_Area" localSheetId="0">'Cronograma (2)'!$A$1:$S$15</definedName>
    <definedName name="_xlnm.Print_Area" localSheetId="1">'Cronograma (3)'!$A$1:$S$15</definedName>
    <definedName name="_xlnm.Print_Titles" localSheetId="0">'Cronograma (2)'!$5:$5</definedName>
    <definedName name="_xlnm.Print_Titles" localSheetId="1">'Cronograma (3)'!$5:$5</definedName>
  </definedNames>
  <calcPr calcId="191029"/>
</workbook>
</file>

<file path=xl/calcChain.xml><?xml version="1.0" encoding="utf-8"?>
<calcChain xmlns="http://schemas.openxmlformats.org/spreadsheetml/2006/main">
  <c r="J19" i="3" l="1"/>
  <c r="E19" i="3"/>
  <c r="T14" i="3"/>
  <c r="O15" i="3"/>
  <c r="T12" i="3"/>
  <c r="P12" i="3"/>
  <c r="T11" i="3"/>
  <c r="P11" i="3"/>
  <c r="T10" i="3"/>
  <c r="P10" i="3"/>
  <c r="Q10" i="3" s="1"/>
  <c r="R10" i="3" s="1"/>
  <c r="T9" i="3"/>
  <c r="P9" i="3"/>
  <c r="T8" i="3"/>
  <c r="P8" i="3"/>
  <c r="Q8" i="3" s="1"/>
  <c r="R8" i="3" s="1"/>
  <c r="T7" i="3"/>
  <c r="P7" i="3"/>
  <c r="Q7" i="3" s="1"/>
  <c r="T6" i="3"/>
  <c r="P6" i="3"/>
  <c r="T7" i="2"/>
  <c r="T8" i="2"/>
  <c r="T9" i="2"/>
  <c r="T10" i="2"/>
  <c r="T11" i="2"/>
  <c r="T12" i="2"/>
  <c r="T6" i="2"/>
  <c r="P7" i="2"/>
  <c r="Q7" i="2" s="1"/>
  <c r="R7" i="2" s="1"/>
  <c r="P8" i="2"/>
  <c r="P9" i="2"/>
  <c r="Q9" i="2" s="1"/>
  <c r="P10" i="2"/>
  <c r="P11" i="2"/>
  <c r="Q11" i="2" s="1"/>
  <c r="P12" i="2"/>
  <c r="Q12" i="2" s="1"/>
  <c r="R12" i="2" s="1"/>
  <c r="P6" i="2"/>
  <c r="Q6" i="2" s="1"/>
  <c r="R6" i="2" s="1"/>
  <c r="O13" i="2"/>
  <c r="N18" i="2"/>
  <c r="M18" i="2"/>
  <c r="L18" i="2"/>
  <c r="K18" i="2"/>
  <c r="J18" i="2"/>
  <c r="I18" i="2"/>
  <c r="H18" i="2"/>
  <c r="H19" i="2" s="1"/>
  <c r="G18" i="2"/>
  <c r="G19" i="2" s="1"/>
  <c r="F18" i="2"/>
  <c r="E18" i="2"/>
  <c r="D18" i="2"/>
  <c r="D19" i="2" s="1"/>
  <c r="C18" i="2"/>
  <c r="P15" i="3" l="1"/>
  <c r="F21" i="3"/>
  <c r="H20" i="3"/>
  <c r="H19" i="3"/>
  <c r="H21" i="3" s="1"/>
  <c r="Q6" i="3"/>
  <c r="R6" i="3" s="1"/>
  <c r="I19" i="3"/>
  <c r="Q11" i="3"/>
  <c r="R11" i="3" s="1"/>
  <c r="K19" i="3"/>
  <c r="K21" i="3" s="1"/>
  <c r="K20" i="3"/>
  <c r="Q9" i="3"/>
  <c r="R9" i="3" s="1"/>
  <c r="L19" i="3"/>
  <c r="L21" i="3" s="1"/>
  <c r="L20" i="3"/>
  <c r="M19" i="3"/>
  <c r="M20" i="3" s="1"/>
  <c r="M21" i="3" s="1"/>
  <c r="N19" i="3"/>
  <c r="N20" i="3"/>
  <c r="R7" i="3"/>
  <c r="Q12" i="3"/>
  <c r="R12" i="3" s="1"/>
  <c r="C19" i="3"/>
  <c r="J20" i="3"/>
  <c r="J21" i="3" s="1"/>
  <c r="D19" i="3"/>
  <c r="D21" i="3" s="1"/>
  <c r="D20" i="3"/>
  <c r="E20" i="3"/>
  <c r="E21" i="3" s="1"/>
  <c r="F19" i="3"/>
  <c r="F20" i="3"/>
  <c r="G19" i="3"/>
  <c r="G20" i="3"/>
  <c r="R9" i="2"/>
  <c r="R11" i="2"/>
  <c r="Q10" i="2"/>
  <c r="R10" i="2" s="1"/>
  <c r="Q8" i="2"/>
  <c r="R8" i="2" s="1"/>
  <c r="T14" i="2"/>
  <c r="P13" i="2"/>
  <c r="D20" i="2"/>
  <c r="D21" i="2" s="1"/>
  <c r="G20" i="2"/>
  <c r="G21" i="2" s="1"/>
  <c r="H20" i="2"/>
  <c r="H21" i="2" s="1"/>
  <c r="J19" i="2"/>
  <c r="J20" i="2" s="1"/>
  <c r="J21" i="2" s="1"/>
  <c r="L19" i="2"/>
  <c r="M19" i="2"/>
  <c r="M20" i="2" s="1"/>
  <c r="M21" i="2" s="1"/>
  <c r="I19" i="2"/>
  <c r="I20" i="2" s="1"/>
  <c r="K19" i="2"/>
  <c r="K20" i="2" s="1"/>
  <c r="N19" i="2"/>
  <c r="C19" i="2"/>
  <c r="C20" i="2" s="1"/>
  <c r="C21" i="2" s="1"/>
  <c r="E19" i="2"/>
  <c r="E20" i="2" s="1"/>
  <c r="F19" i="2"/>
  <c r="F20" i="2" s="1"/>
  <c r="G21" i="3" l="1"/>
  <c r="I20" i="3"/>
  <c r="I21" i="3" s="1"/>
  <c r="N21" i="3"/>
  <c r="R15" i="3"/>
  <c r="C15" i="3" s="1"/>
  <c r="C20" i="3"/>
  <c r="C21" i="3" s="1"/>
  <c r="Q15" i="3"/>
  <c r="Q13" i="2"/>
  <c r="R13" i="2"/>
  <c r="F21" i="2"/>
  <c r="C23" i="2"/>
  <c r="L20" i="2"/>
  <c r="L21" i="2" s="1"/>
  <c r="I21" i="2"/>
  <c r="K21" i="2"/>
  <c r="N20" i="2"/>
  <c r="N21" i="2" s="1"/>
  <c r="E21" i="2"/>
  <c r="S7" i="3" l="1"/>
  <c r="S9" i="3"/>
  <c r="C23" i="3"/>
  <c r="I15" i="3"/>
  <c r="H15" i="3"/>
  <c r="G15" i="3"/>
  <c r="F15" i="3"/>
  <c r="S15" i="3"/>
  <c r="L15" i="3"/>
  <c r="K15" i="3"/>
  <c r="E15" i="3"/>
  <c r="D15" i="3"/>
  <c r="N15" i="3"/>
  <c r="M15" i="3"/>
  <c r="J15" i="3"/>
  <c r="S8" i="3"/>
  <c r="S10" i="3"/>
  <c r="S6" i="3"/>
  <c r="S12" i="3"/>
  <c r="S11" i="3"/>
  <c r="F15" i="2"/>
  <c r="G15" i="2"/>
  <c r="H15" i="2"/>
  <c r="E15" i="2"/>
  <c r="I15" i="2"/>
  <c r="J15" i="2"/>
  <c r="K15" i="2"/>
  <c r="L15" i="2"/>
  <c r="M15" i="2"/>
  <c r="N15" i="2"/>
  <c r="C15" i="2"/>
  <c r="D15" i="2"/>
  <c r="S8" i="2"/>
  <c r="S10" i="2"/>
  <c r="S14" i="2"/>
  <c r="S7" i="2"/>
  <c r="S12" i="2"/>
  <c r="S6" i="2"/>
  <c r="S9" i="2"/>
  <c r="S11" i="2"/>
  <c r="D23" i="2"/>
  <c r="D23" i="3" l="1"/>
  <c r="R15" i="2"/>
  <c r="S15" i="2" s="1"/>
  <c r="E23" i="2"/>
  <c r="E23" i="3" l="1"/>
  <c r="F23" i="2"/>
  <c r="F23" i="3" l="1"/>
  <c r="G23" i="2"/>
  <c r="G23" i="3" l="1"/>
  <c r="H23" i="2"/>
  <c r="H23" i="3" l="1"/>
  <c r="I23" i="2"/>
  <c r="I23" i="3" l="1"/>
  <c r="J23" i="2"/>
  <c r="J23" i="3" l="1"/>
  <c r="K23" i="2"/>
  <c r="K23" i="3" l="1"/>
  <c r="L23" i="2"/>
  <c r="L23" i="3" l="1"/>
  <c r="M23" i="2"/>
  <c r="M23" i="3" l="1"/>
  <c r="N23" i="2"/>
  <c r="M22" i="2" s="1"/>
  <c r="N23" i="3" l="1"/>
  <c r="M22" i="3" s="1"/>
  <c r="N22" i="2"/>
  <c r="M17" i="2"/>
  <c r="C17" i="2"/>
  <c r="D17" i="2"/>
  <c r="J17" i="2"/>
  <c r="H17" i="2"/>
  <c r="G17" i="2"/>
  <c r="F17" i="2"/>
  <c r="K17" i="2"/>
  <c r="C22" i="2"/>
  <c r="L17" i="2"/>
  <c r="I17" i="2"/>
  <c r="N17" i="2"/>
  <c r="E17" i="2"/>
  <c r="D22" i="2"/>
  <c r="E22" i="2"/>
  <c r="F22" i="2"/>
  <c r="G22" i="2"/>
  <c r="H22" i="2"/>
  <c r="I22" i="2"/>
  <c r="J22" i="2"/>
  <c r="K22" i="2"/>
  <c r="L22" i="2"/>
  <c r="N22" i="3" l="1"/>
  <c r="K17" i="3"/>
  <c r="J17" i="3"/>
  <c r="G17" i="3"/>
  <c r="F17" i="3"/>
  <c r="M17" i="3"/>
  <c r="E17" i="3"/>
  <c r="D17" i="3"/>
  <c r="I17" i="3"/>
  <c r="L17" i="3"/>
  <c r="N17" i="3"/>
  <c r="H17" i="3"/>
  <c r="C17" i="3"/>
  <c r="C22" i="3"/>
  <c r="D22" i="3"/>
  <c r="E22" i="3"/>
  <c r="F22" i="3"/>
  <c r="G22" i="3"/>
  <c r="H22" i="3"/>
  <c r="I22" i="3"/>
  <c r="J22" i="3"/>
  <c r="K22" i="3"/>
  <c r="L22" i="3"/>
</calcChain>
</file>

<file path=xl/sharedStrings.xml><?xml version="1.0" encoding="utf-8"?>
<sst xmlns="http://schemas.openxmlformats.org/spreadsheetml/2006/main" count="164" uniqueCount="72">
  <si>
    <t>Bancos</t>
  </si>
  <si>
    <t>B.D.I.</t>
  </si>
  <si>
    <t>Encargos Sociais</t>
  </si>
  <si>
    <t>25,0%</t>
  </si>
  <si>
    <t>Não Desonerado: 
Horista: 117,37%
Mensalista: 73,31%</t>
  </si>
  <si>
    <t>Item</t>
  </si>
  <si>
    <t>Descrição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</si>
  <si>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</si>
  <si>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</si>
  <si>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</si>
  <si>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</si>
  <si>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</si>
  <si>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</si>
  <si>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</si>
  <si>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</si>
  <si>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</si>
  <si>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</si>
  <si>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</si>
  <si>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</si>
  <si>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 xml:space="preserve"> 1 </t>
  </si>
  <si>
    <t>SERVIÇOS PRELIMINARES</t>
  </si>
  <si>
    <t/>
  </si>
  <si>
    <t xml:space="preserve"> 2 </t>
  </si>
  <si>
    <t>FUNDAÇÕES</t>
  </si>
  <si>
    <t xml:space="preserve"> 3 </t>
  </si>
  <si>
    <t>SUPERESTRUTURA</t>
  </si>
  <si>
    <t xml:space="preserve"> 4 </t>
  </si>
  <si>
    <t>COBERTURA</t>
  </si>
  <si>
    <t xml:space="preserve"> 5 </t>
  </si>
  <si>
    <t>PISOS INTERNOS</t>
  </si>
  <si>
    <t xml:space="preserve"> 6 </t>
  </si>
  <si>
    <t>ÁREA EXTERNA</t>
  </si>
  <si>
    <t xml:space="preserve"> 7 </t>
  </si>
  <si>
    <t>LIMPEZA E DESMOBILIZAÇÃO</t>
  </si>
  <si>
    <t>Porcentagem Acumulado</t>
  </si>
  <si>
    <t>Administração Local</t>
  </si>
  <si>
    <t>Valor Total Acumulado</t>
  </si>
  <si>
    <t>Porcentagem Mensal</t>
  </si>
  <si>
    <t>BDI</t>
  </si>
  <si>
    <t>Valor Mensal sem BDI</t>
  </si>
  <si>
    <t>Valor Total com BDI</t>
  </si>
  <si>
    <t>SINAPI - 07/2023 - São Paulo; SICRO3 - 07/2023 - São Paulo; ORSE - 06/2023 - Sergipe; SEINFRA - 027 - Ceará; 
SETOP - 05/2023 - Minas Gerais; SIURB - 07/2023 - São Paulo; SIURB INFRA - 07/2023 - São Paulo; SUDECAP - 06/2023 - Minas Gerais; 
CPOS - 06/2023 - São Paulo; FDE - 07/2023 - São Paulo; AGESUL - 06/2023 - Mato Grosso do Sul; AGETOP CIVIL - 06/2023 - Goiás; 
EMBASA - 07/2023 - Bahia; COMPESA - 07/2023 - Pernambuco.</t>
  </si>
  <si>
    <t>CRONOGRAMA FÍSICO-FINANCEIRO</t>
  </si>
  <si>
    <t xml:space="preserve">Obra: </t>
  </si>
  <si>
    <t>Adm 8,83%</t>
  </si>
  <si>
    <t>BDI 25%</t>
  </si>
  <si>
    <t>Subtotal</t>
  </si>
  <si>
    <t>Total em R$</t>
  </si>
  <si>
    <t>Execução Física</t>
  </si>
  <si>
    <t>Execução Financeira</t>
  </si>
  <si>
    <t>Total em R$ e %</t>
  </si>
  <si>
    <t>RECUPERAÇÃO ESTRUTURAL DO CASARÃO NA FEENA</t>
  </si>
  <si>
    <t>Serviços Preliminares</t>
  </si>
  <si>
    <t>Fundações</t>
  </si>
  <si>
    <t>Superestrutura</t>
  </si>
  <si>
    <t>Cobertura</t>
  </si>
  <si>
    <t>Pisos Internos</t>
  </si>
  <si>
    <t>Área Externa</t>
  </si>
  <si>
    <t>Limpeza/Desmobilização</t>
  </si>
  <si>
    <t>Itens e Descrições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</si>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</sst>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8"/>
      <name val="Arial"/>
      <family val="1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ck">
        <color rgb="FF0092F6"/>
      </top>
      <bottom/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0092F6"/>
      </bottom>
      <diagonal/>
    </border>
    <border>
      <left/>
      <right style="thin">
        <color indexed="64"/>
      </right>
      <top/>
      <bottom style="thick">
        <color rgb="FF0092F6"/>
      </bottom>
      <diagonal/>
    </border>
    <border>
      <left/>
      <right style="thin">
        <color indexed="64"/>
      </right>
      <top style="thick">
        <color rgb="FF0092F6"/>
      </top>
      <bottom/>
      <diagonal/>
    </border>
    <border>
      <left style="thin">
        <color indexed="64"/>
      </left>
      <right/>
      <top style="thick">
        <color rgb="FF0092F6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5" fillId="4" borderId="0" xfId="0" applyFont="1" applyFill="1" applyAlignment="1">
      <alignment horizontal="left" vertical="center" wrapText="1"/>
    </xf>
    <xf numFmtId="10" fontId="6" fillId="5" borderId="0" xfId="0" applyNumberFormat="1" applyFont="1" applyFill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0" fontId="7" fillId="6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left" vertical="center" wrapText="1"/>
    </xf>
    <xf numFmtId="4" fontId="12" fillId="5" borderId="0" xfId="0" applyNumberFormat="1" applyFont="1" applyFill="1" applyAlignment="1">
      <alignment horizontal="right" vertical="center" wrapText="1"/>
    </xf>
    <xf numFmtId="10" fontId="12" fillId="4" borderId="0" xfId="0" applyNumberFormat="1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center" wrapText="1"/>
    </xf>
    <xf numFmtId="4" fontId="6" fillId="5" borderId="3" xfId="0" applyNumberFormat="1" applyFont="1" applyFill="1" applyBorder="1" applyAlignment="1">
      <alignment horizontal="right" vertical="center" wrapText="1"/>
    </xf>
    <xf numFmtId="10" fontId="7" fillId="6" borderId="0" xfId="0" applyNumberFormat="1" applyFont="1" applyFill="1" applyAlignment="1">
      <alignment horizontal="center" vertical="center" wrapText="1"/>
    </xf>
    <xf numFmtId="10" fontId="0" fillId="8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0" fontId="2" fillId="8" borderId="0" xfId="0" applyFont="1" applyFill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2" fillId="8" borderId="11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10" fontId="4" fillId="8" borderId="1" xfId="2" applyNumberFormat="1" applyFont="1" applyFill="1" applyBorder="1" applyAlignment="1">
      <alignment horizontal="right" vertical="center" wrapText="1"/>
    </xf>
    <xf numFmtId="164" fontId="2" fillId="8" borderId="0" xfId="1" applyFont="1" applyFill="1" applyBorder="1" applyAlignment="1">
      <alignment horizontal="right" vertical="center" wrapText="1"/>
    </xf>
    <xf numFmtId="10" fontId="2" fillId="8" borderId="5" xfId="2" applyNumberFormat="1" applyFont="1" applyFill="1" applyBorder="1" applyAlignment="1">
      <alignment horizontal="right" vertical="center" wrapText="1"/>
    </xf>
    <xf numFmtId="10" fontId="4" fillId="8" borderId="2" xfId="2" applyNumberFormat="1" applyFont="1" applyFill="1" applyBorder="1" applyAlignment="1">
      <alignment horizontal="right" vertical="center" wrapText="1"/>
    </xf>
    <xf numFmtId="10" fontId="2" fillId="8" borderId="0" xfId="2" applyNumberFormat="1" applyFont="1" applyFill="1" applyBorder="1" applyAlignment="1">
      <alignment horizontal="right" vertical="center" wrapText="1"/>
    </xf>
    <xf numFmtId="10" fontId="2" fillId="8" borderId="6" xfId="2" applyNumberFormat="1" applyFont="1" applyFill="1" applyBorder="1" applyAlignment="1">
      <alignment horizontal="right" vertical="center" wrapText="1"/>
    </xf>
    <xf numFmtId="0" fontId="7" fillId="8" borderId="0" xfId="0" applyFont="1" applyFill="1" applyAlignment="1">
      <alignment vertical="center"/>
    </xf>
    <xf numFmtId="0" fontId="7" fillId="8" borderId="3" xfId="0" applyFont="1" applyFill="1" applyBorder="1" applyAlignment="1">
      <alignment vertical="center"/>
    </xf>
    <xf numFmtId="0" fontId="13" fillId="8" borderId="11" xfId="0" applyFont="1" applyFill="1" applyBorder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2" borderId="9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3" fillId="9" borderId="15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righ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164" fontId="2" fillId="8" borderId="8" xfId="1" applyFont="1" applyFill="1" applyBorder="1" applyAlignment="1">
      <alignment horizontal="right" vertical="center" wrapText="1"/>
    </xf>
    <xf numFmtId="10" fontId="14" fillId="8" borderId="8" xfId="2" applyNumberFormat="1" applyFont="1" applyFill="1" applyBorder="1" applyAlignment="1">
      <alignment horizontal="right" vertical="center" wrapText="1"/>
    </xf>
    <xf numFmtId="10" fontId="14" fillId="8" borderId="0" xfId="2" applyNumberFormat="1" applyFont="1" applyFill="1" applyBorder="1" applyAlignment="1">
      <alignment horizontal="right" vertical="center" wrapText="1"/>
    </xf>
    <xf numFmtId="164" fontId="14" fillId="8" borderId="3" xfId="1" applyFont="1" applyFill="1" applyBorder="1" applyAlignment="1">
      <alignment horizontal="right" vertical="center" wrapText="1"/>
    </xf>
    <xf numFmtId="0" fontId="3" fillId="9" borderId="15" xfId="0" applyFont="1" applyFill="1" applyBorder="1" applyAlignment="1">
      <alignment horizontal="right" vertical="center" wrapText="1"/>
    </xf>
    <xf numFmtId="0" fontId="3" fillId="9" borderId="16" xfId="0" applyFont="1" applyFill="1" applyBorder="1" applyAlignment="1">
      <alignment horizontal="right" vertical="center" wrapText="1"/>
    </xf>
    <xf numFmtId="10" fontId="4" fillId="8" borderId="17" xfId="2" applyNumberFormat="1" applyFont="1" applyFill="1" applyBorder="1" applyAlignment="1">
      <alignment horizontal="right" vertical="center" wrapText="1"/>
    </xf>
    <xf numFmtId="10" fontId="4" fillId="8" borderId="18" xfId="2" applyNumberFormat="1" applyFont="1" applyFill="1" applyBorder="1" applyAlignment="1">
      <alignment horizontal="right" vertical="center" wrapText="1"/>
    </xf>
    <xf numFmtId="10" fontId="2" fillId="8" borderId="19" xfId="2" applyNumberFormat="1" applyFont="1" applyFill="1" applyBorder="1" applyAlignment="1">
      <alignment horizontal="right" vertical="center" wrapText="1"/>
    </xf>
    <xf numFmtId="10" fontId="2" fillId="8" borderId="20" xfId="2" applyNumberFormat="1" applyFont="1" applyFill="1" applyBorder="1" applyAlignment="1">
      <alignment horizontal="right" vertical="center" wrapText="1"/>
    </xf>
    <xf numFmtId="10" fontId="2" fillId="8" borderId="12" xfId="2" applyNumberFormat="1" applyFont="1" applyFill="1" applyBorder="1" applyAlignment="1">
      <alignment horizontal="right" vertical="center" wrapText="1"/>
    </xf>
    <xf numFmtId="10" fontId="14" fillId="8" borderId="9" xfId="2" applyNumberFormat="1" applyFont="1" applyFill="1" applyBorder="1" applyAlignment="1">
      <alignment horizontal="right" vertical="center" wrapText="1"/>
    </xf>
    <xf numFmtId="10" fontId="14" fillId="8" borderId="10" xfId="2" applyNumberFormat="1" applyFont="1" applyFill="1" applyBorder="1" applyAlignment="1">
      <alignment horizontal="right" vertical="center" wrapText="1"/>
    </xf>
    <xf numFmtId="10" fontId="14" fillId="8" borderId="11" xfId="2" applyNumberFormat="1" applyFont="1" applyFill="1" applyBorder="1" applyAlignment="1">
      <alignment horizontal="right" vertical="center" wrapText="1"/>
    </xf>
    <xf numFmtId="10" fontId="14" fillId="8" borderId="12" xfId="2" applyNumberFormat="1" applyFont="1" applyFill="1" applyBorder="1" applyAlignment="1">
      <alignment horizontal="right" vertical="center" wrapText="1"/>
    </xf>
    <xf numFmtId="164" fontId="14" fillId="8" borderId="13" xfId="1" applyFont="1" applyFill="1" applyBorder="1" applyAlignment="1">
      <alignment horizontal="right" vertical="center" wrapText="1"/>
    </xf>
    <xf numFmtId="164" fontId="14" fillId="8" borderId="14" xfId="1" applyFont="1" applyFill="1" applyBorder="1" applyAlignment="1">
      <alignment horizontal="right" vertical="center" wrapText="1"/>
    </xf>
    <xf numFmtId="164" fontId="14" fillId="8" borderId="0" xfId="1" applyFont="1" applyFill="1" applyBorder="1" applyAlignment="1">
      <alignment horizontal="right" vertical="center" wrapText="1"/>
    </xf>
    <xf numFmtId="10" fontId="10" fillId="8" borderId="12" xfId="2" applyNumberFormat="1" applyFont="1" applyFill="1" applyBorder="1" applyAlignment="1">
      <alignment vertical="center"/>
    </xf>
    <xf numFmtId="164" fontId="14" fillId="8" borderId="8" xfId="1" applyFont="1" applyFill="1" applyBorder="1" applyAlignment="1">
      <alignment horizontal="right" vertical="center" wrapText="1"/>
    </xf>
    <xf numFmtId="10" fontId="10" fillId="8" borderId="10" xfId="2" applyNumberFormat="1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164" fontId="10" fillId="8" borderId="3" xfId="0" applyNumberFormat="1" applyFont="1" applyFill="1" applyBorder="1" applyAlignment="1">
      <alignment vertical="center"/>
    </xf>
    <xf numFmtId="164" fontId="10" fillId="8" borderId="14" xfId="2" applyNumberFormat="1" applyFont="1" applyFill="1" applyBorder="1" applyAlignment="1">
      <alignment vertical="center"/>
    </xf>
    <xf numFmtId="0" fontId="3" fillId="9" borderId="7" xfId="0" applyFont="1" applyFill="1" applyBorder="1" applyAlignment="1">
      <alignment horizontal="centerContinuous" vertical="center"/>
    </xf>
    <xf numFmtId="0" fontId="7" fillId="9" borderId="16" xfId="0" applyFont="1" applyFill="1" applyBorder="1" applyAlignment="1">
      <alignment horizontal="centerContinuous" vertical="center"/>
    </xf>
    <xf numFmtId="164" fontId="10" fillId="8" borderId="0" xfId="0" applyNumberFormat="1" applyFont="1" applyFill="1" applyAlignment="1">
      <alignment vertical="center"/>
    </xf>
    <xf numFmtId="164" fontId="10" fillId="8" borderId="0" xfId="2" applyNumberFormat="1" applyFont="1" applyFill="1" applyBorder="1" applyAlignment="1">
      <alignment vertical="center"/>
    </xf>
    <xf numFmtId="0" fontId="3" fillId="9" borderId="7" xfId="0" applyFont="1" applyFill="1" applyBorder="1" applyAlignment="1">
      <alignment horizontal="center" vertical="center" wrapText="1"/>
    </xf>
    <xf numFmtId="165" fontId="14" fillId="8" borderId="13" xfId="1" applyNumberFormat="1" applyFont="1" applyFill="1" applyBorder="1" applyAlignment="1">
      <alignment horizontal="right" vertical="center" wrapText="1"/>
    </xf>
    <xf numFmtId="165" fontId="14" fillId="8" borderId="3" xfId="1" applyNumberFormat="1" applyFont="1" applyFill="1" applyBorder="1" applyAlignment="1">
      <alignment horizontal="right" vertical="center" wrapText="1"/>
    </xf>
    <xf numFmtId="165" fontId="14" fillId="8" borderId="14" xfId="1" applyNumberFormat="1" applyFont="1" applyFill="1" applyBorder="1" applyAlignment="1">
      <alignment horizontal="right" vertical="center" wrapText="1"/>
    </xf>
    <xf numFmtId="3" fontId="12" fillId="5" borderId="0" xfId="0" applyNumberFormat="1" applyFont="1" applyFill="1" applyAlignment="1">
      <alignment horizontal="right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3" fontId="6" fillId="5" borderId="3" xfId="0" applyNumberFormat="1" applyFont="1" applyFill="1" applyBorder="1" applyAlignment="1">
      <alignment horizontal="right" vertical="center" wrapText="1"/>
    </xf>
    <xf numFmtId="9" fontId="4" fillId="8" borderId="17" xfId="2" applyFont="1" applyFill="1" applyBorder="1" applyAlignment="1">
      <alignment horizontal="right" vertical="center" wrapText="1"/>
    </xf>
    <xf numFmtId="9" fontId="4" fillId="8" borderId="1" xfId="2" applyFont="1" applyFill="1" applyBorder="1" applyAlignment="1">
      <alignment horizontal="right" vertical="center" wrapText="1"/>
    </xf>
    <xf numFmtId="9" fontId="4" fillId="8" borderId="18" xfId="2" applyFont="1" applyFill="1" applyBorder="1" applyAlignment="1">
      <alignment horizontal="right" vertical="center" wrapText="1"/>
    </xf>
    <xf numFmtId="9" fontId="2" fillId="8" borderId="5" xfId="2" applyFont="1" applyFill="1" applyBorder="1" applyAlignment="1">
      <alignment horizontal="right" vertical="center" wrapText="1"/>
    </xf>
    <xf numFmtId="9" fontId="2" fillId="8" borderId="19" xfId="2" applyFont="1" applyFill="1" applyBorder="1" applyAlignment="1">
      <alignment horizontal="right" vertical="center" wrapText="1"/>
    </xf>
    <xf numFmtId="9" fontId="2" fillId="8" borderId="20" xfId="2" applyFont="1" applyFill="1" applyBorder="1" applyAlignment="1">
      <alignment horizontal="right" vertical="center" wrapText="1"/>
    </xf>
    <xf numFmtId="9" fontId="4" fillId="8" borderId="2" xfId="2" applyFont="1" applyFill="1" applyBorder="1" applyAlignment="1">
      <alignment horizontal="right" vertical="center" wrapText="1"/>
    </xf>
    <xf numFmtId="9" fontId="2" fillId="8" borderId="0" xfId="2" applyFont="1" applyFill="1" applyBorder="1" applyAlignment="1">
      <alignment horizontal="right" vertical="center" wrapText="1"/>
    </xf>
    <xf numFmtId="9" fontId="2" fillId="8" borderId="12" xfId="2" applyFont="1" applyFill="1" applyBorder="1" applyAlignment="1">
      <alignment horizontal="right" vertical="center" wrapText="1"/>
    </xf>
    <xf numFmtId="9" fontId="2" fillId="8" borderId="6" xfId="2" applyFont="1" applyFill="1" applyBorder="1" applyAlignment="1">
      <alignment horizontal="right" vertical="center" wrapText="1"/>
    </xf>
    <xf numFmtId="165" fontId="14" fillId="8" borderId="0" xfId="1" applyNumberFormat="1" applyFont="1" applyFill="1" applyBorder="1" applyAlignment="1">
      <alignment horizontal="right" vertical="center" wrapText="1"/>
    </xf>
    <xf numFmtId="9" fontId="10" fillId="8" borderId="12" xfId="2" applyFont="1" applyFill="1" applyBorder="1" applyAlignment="1">
      <alignment vertical="center"/>
    </xf>
    <xf numFmtId="0" fontId="3" fillId="9" borderId="15" xfId="0" applyFont="1" applyFill="1" applyBorder="1" applyAlignment="1">
      <alignment horizontal="left" vertical="center"/>
    </xf>
    <xf numFmtId="165" fontId="13" fillId="8" borderId="0" xfId="1" applyNumberFormat="1" applyFont="1" applyFill="1" applyBorder="1" applyAlignment="1">
      <alignment horizontal="right" vertical="center" wrapText="1"/>
    </xf>
    <xf numFmtId="165" fontId="13" fillId="8" borderId="3" xfId="1" applyNumberFormat="1" applyFont="1" applyFill="1" applyBorder="1" applyAlignment="1">
      <alignment horizontal="right" vertical="center" wrapText="1"/>
    </xf>
    <xf numFmtId="9" fontId="14" fillId="8" borderId="9" xfId="2" applyFont="1" applyFill="1" applyBorder="1" applyAlignment="1">
      <alignment horizontal="right" vertical="center" wrapText="1"/>
    </xf>
    <xf numFmtId="9" fontId="14" fillId="8" borderId="8" xfId="2" applyFont="1" applyFill="1" applyBorder="1" applyAlignment="1">
      <alignment horizontal="right" vertical="center" wrapText="1"/>
    </xf>
    <xf numFmtId="9" fontId="14" fillId="8" borderId="10" xfId="2" applyFont="1" applyFill="1" applyBorder="1" applyAlignment="1">
      <alignment horizontal="right" vertical="center" wrapText="1"/>
    </xf>
    <xf numFmtId="0" fontId="7" fillId="8" borderId="8" xfId="0" applyFont="1" applyFill="1" applyBorder="1" applyAlignment="1">
      <alignment vertical="center"/>
    </xf>
    <xf numFmtId="0" fontId="10" fillId="8" borderId="8" xfId="0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9" fontId="10" fillId="8" borderId="14" xfId="2" applyFont="1" applyFill="1" applyBorder="1" applyAlignment="1">
      <alignment vertical="center"/>
    </xf>
    <xf numFmtId="0" fontId="2" fillId="8" borderId="14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justify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2CCD-9AA5-4550-9D9F-174975000F1D}">
  <sheetPr>
    <pageSetUpPr fitToPage="1"/>
  </sheetPr>
  <dimension ref="A1:T24"/>
  <sheetViews>
    <sheetView showGridLines="0" showOutlineSymbols="0" showWhiteSpace="0" zoomScaleNormal="100" workbookViewId="0">
      <selection activeCell="G4" sqref="G4"/>
    </sheetView>
  </sheetViews>
  <sheetFormatPr defaultColWidth="9" defaultRowHeight="14.25" x14ac:dyDescent="0.2"/>
  <cols>
    <col min="1" max="1" width="4.625" style="1" bestFit="1" customWidth="1"/>
    <col min="2" max="2" width="26.25" style="1" customWidth="1"/>
    <col min="3" max="14" width="10.625" style="1" customWidth="1"/>
    <col min="15" max="15" width="11.625" style="1" customWidth="1"/>
    <col min="16" max="17" width="10.625" style="1" customWidth="1"/>
    <col min="18" max="18" width="11.625" style="1" customWidth="1"/>
    <col min="19" max="19" width="7.625" style="1" customWidth="1"/>
    <col min="20" max="33" width="12" style="1" bestFit="1" customWidth="1"/>
    <col min="34" max="16384" width="9" style="1"/>
  </cols>
  <sheetData>
    <row r="1" spans="1:20" ht="30" customHeight="1" x14ac:dyDescent="0.2">
      <c r="A1" s="44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15" x14ac:dyDescent="0.2">
      <c r="A2" s="46"/>
      <c r="B2" s="23" t="s">
        <v>43</v>
      </c>
      <c r="C2" s="114" t="s">
        <v>1</v>
      </c>
      <c r="D2" s="114"/>
      <c r="E2" s="114" t="s">
        <v>2</v>
      </c>
      <c r="F2" s="114"/>
      <c r="G2" s="24" t="s">
        <v>0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</row>
    <row r="3" spans="1:20" ht="50.1" customHeight="1" x14ac:dyDescent="0.2">
      <c r="A3" s="47"/>
      <c r="B3" s="26" t="s">
        <v>51</v>
      </c>
      <c r="C3" s="115" t="s">
        <v>3</v>
      </c>
      <c r="D3" s="115"/>
      <c r="E3" s="115" t="s">
        <v>4</v>
      </c>
      <c r="F3" s="115"/>
      <c r="G3" s="116" t="s">
        <v>41</v>
      </c>
      <c r="H3" s="116"/>
      <c r="I3" s="116"/>
      <c r="J3" s="116"/>
      <c r="K3" s="116"/>
      <c r="L3" s="116"/>
      <c r="M3" s="116"/>
      <c r="N3" s="116"/>
      <c r="O3" s="116"/>
      <c r="P3" s="27"/>
      <c r="Q3" s="27"/>
      <c r="R3" s="27"/>
      <c r="S3" s="48"/>
    </row>
    <row r="4" spans="1:20" ht="15" customHeight="1" x14ac:dyDescent="0.2">
      <c r="A4" s="2"/>
      <c r="B4" s="28"/>
      <c r="C4" s="2"/>
      <c r="D4" s="2"/>
      <c r="E4" s="2"/>
      <c r="F4" s="2"/>
      <c r="G4" s="29"/>
      <c r="H4" s="29"/>
      <c r="I4" s="29"/>
      <c r="J4" s="29"/>
      <c r="K4" s="29"/>
      <c r="L4" s="29"/>
      <c r="M4" s="29"/>
      <c r="N4" s="29"/>
    </row>
    <row r="5" spans="1:20" ht="24.95" customHeight="1" x14ac:dyDescent="0.2">
      <c r="A5" s="49" t="s">
        <v>5</v>
      </c>
      <c r="B5" s="50" t="s">
        <v>6</v>
      </c>
      <c r="C5" s="58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51" t="s">
        <v>12</v>
      </c>
      <c r="I5" s="51" t="s">
        <v>13</v>
      </c>
      <c r="J5" s="51" t="s">
        <v>14</v>
      </c>
      <c r="K5" s="51" t="s">
        <v>15</v>
      </c>
      <c r="L5" s="51" t="s">
        <v>16</v>
      </c>
      <c r="M5" s="51" t="s">
        <v>17</v>
      </c>
      <c r="N5" s="59" t="s">
        <v>18</v>
      </c>
      <c r="O5" s="82" t="s">
        <v>46</v>
      </c>
      <c r="P5" s="82" t="s">
        <v>44</v>
      </c>
      <c r="Q5" s="82" t="s">
        <v>45</v>
      </c>
      <c r="R5" s="78" t="s">
        <v>50</v>
      </c>
      <c r="S5" s="79"/>
    </row>
    <row r="6" spans="1:20" s="21" customFormat="1" ht="24.95" customHeight="1" thickBot="1" x14ac:dyDescent="0.25">
      <c r="A6" s="42" t="s">
        <v>19</v>
      </c>
      <c r="B6" s="43" t="s">
        <v>20</v>
      </c>
      <c r="C6" s="60">
        <v>0.435</v>
      </c>
      <c r="D6" s="34">
        <v>4.7500000000000001E-2</v>
      </c>
      <c r="E6" s="34">
        <v>4.3099999999999999E-2</v>
      </c>
      <c r="F6" s="34">
        <v>8.6300000000000002E-2</v>
      </c>
      <c r="G6" s="34">
        <v>8.6300000000000002E-2</v>
      </c>
      <c r="H6" s="34">
        <v>4.3099999999999999E-2</v>
      </c>
      <c r="I6" s="34">
        <v>4.3099999999999999E-2</v>
      </c>
      <c r="J6" s="34">
        <v>4.3099999999999999E-2</v>
      </c>
      <c r="K6" s="34">
        <v>4.3099999999999999E-2</v>
      </c>
      <c r="L6" s="34">
        <v>4.3099999999999999E-2</v>
      </c>
      <c r="M6" s="34">
        <v>4.3099999999999999E-2</v>
      </c>
      <c r="N6" s="61">
        <v>4.3200000000000002E-2</v>
      </c>
      <c r="O6" s="35">
        <v>97638.96</v>
      </c>
      <c r="P6" s="35">
        <f>ROUND(O6*0.0883,2)</f>
        <v>8621.52</v>
      </c>
      <c r="Q6" s="35">
        <f>ROUND((O6+P6)*0.25,2)</f>
        <v>26565.119999999999</v>
      </c>
      <c r="R6" s="71">
        <f>SUM(O6:Q6)</f>
        <v>132825.60000000001</v>
      </c>
      <c r="S6" s="72">
        <f t="shared" ref="S6:S12" si="0">+R6/$R$13</f>
        <v>6.6239768476784935E-2</v>
      </c>
      <c r="T6" s="20">
        <f>SUM(C6:N6)-1</f>
        <v>0</v>
      </c>
    </row>
    <row r="7" spans="1:20" s="21" customFormat="1" ht="24.95" customHeight="1" thickTop="1" thickBot="1" x14ac:dyDescent="0.25">
      <c r="A7" s="42" t="s">
        <v>22</v>
      </c>
      <c r="B7" s="43" t="s">
        <v>23</v>
      </c>
      <c r="C7" s="60">
        <v>4.2299999999999997E-2</v>
      </c>
      <c r="D7" s="34">
        <v>5.3999999999999999E-2</v>
      </c>
      <c r="E7" s="34">
        <v>5.3999999999999999E-2</v>
      </c>
      <c r="F7" s="34">
        <v>0.19220000000000001</v>
      </c>
      <c r="G7" s="34">
        <v>0.1981</v>
      </c>
      <c r="H7" s="34">
        <v>0.26750000000000002</v>
      </c>
      <c r="I7" s="34">
        <v>0.19189999999999999</v>
      </c>
      <c r="J7" s="36" t="s">
        <v>21</v>
      </c>
      <c r="K7" s="36" t="s">
        <v>21</v>
      </c>
      <c r="L7" s="36" t="s">
        <v>21</v>
      </c>
      <c r="M7" s="36" t="s">
        <v>21</v>
      </c>
      <c r="N7" s="62" t="s">
        <v>21</v>
      </c>
      <c r="O7" s="35">
        <v>251856.88</v>
      </c>
      <c r="P7" s="35">
        <f t="shared" ref="P7:P12" si="1">ROUND(O7*0.0883,2)</f>
        <v>22238.959999999999</v>
      </c>
      <c r="Q7" s="35">
        <f t="shared" ref="Q7:Q12" si="2">ROUND((O7+P7)*0.25,2)</f>
        <v>68523.960000000006</v>
      </c>
      <c r="R7" s="71">
        <f t="shared" ref="R7:R12" si="3">SUM(O7:Q7)</f>
        <v>342619.80000000005</v>
      </c>
      <c r="S7" s="72">
        <f t="shared" si="0"/>
        <v>0.17086357018197068</v>
      </c>
      <c r="T7" s="20">
        <f t="shared" ref="T7:T14" si="4">SUM(C7:N7)-1</f>
        <v>0</v>
      </c>
    </row>
    <row r="8" spans="1:20" s="21" customFormat="1" ht="24.95" customHeight="1" thickTop="1" thickBot="1" x14ac:dyDescent="0.25">
      <c r="A8" s="42" t="s">
        <v>24</v>
      </c>
      <c r="B8" s="43" t="s">
        <v>25</v>
      </c>
      <c r="C8" s="63" t="s">
        <v>21</v>
      </c>
      <c r="D8" s="37">
        <v>0.25</v>
      </c>
      <c r="E8" s="37">
        <v>0.25</v>
      </c>
      <c r="F8" s="37">
        <v>0.25</v>
      </c>
      <c r="G8" s="37">
        <v>0.25</v>
      </c>
      <c r="H8" s="36" t="s">
        <v>21</v>
      </c>
      <c r="I8" s="36" t="s">
        <v>21</v>
      </c>
      <c r="J8" s="38" t="s">
        <v>21</v>
      </c>
      <c r="K8" s="38" t="s">
        <v>21</v>
      </c>
      <c r="L8" s="38" t="s">
        <v>21</v>
      </c>
      <c r="M8" s="38" t="s">
        <v>21</v>
      </c>
      <c r="N8" s="64" t="s">
        <v>21</v>
      </c>
      <c r="O8" s="35">
        <v>226049.82</v>
      </c>
      <c r="P8" s="35">
        <f t="shared" si="1"/>
        <v>19960.2</v>
      </c>
      <c r="Q8" s="35">
        <f t="shared" si="2"/>
        <v>61502.51</v>
      </c>
      <c r="R8" s="71">
        <f t="shared" si="3"/>
        <v>307512.53000000003</v>
      </c>
      <c r="S8" s="72">
        <f t="shared" si="0"/>
        <v>0.15335566932060074</v>
      </c>
      <c r="T8" s="20">
        <f t="shared" si="4"/>
        <v>0</v>
      </c>
    </row>
    <row r="9" spans="1:20" s="21" customFormat="1" ht="24.95" customHeight="1" thickTop="1" thickBot="1" x14ac:dyDescent="0.25">
      <c r="A9" s="42" t="s">
        <v>26</v>
      </c>
      <c r="B9" s="43" t="s">
        <v>27</v>
      </c>
      <c r="C9" s="60">
        <v>1.2E-2</v>
      </c>
      <c r="D9" s="39" t="s">
        <v>21</v>
      </c>
      <c r="E9" s="39" t="s">
        <v>21</v>
      </c>
      <c r="F9" s="39" t="s">
        <v>21</v>
      </c>
      <c r="G9" s="39" t="s">
        <v>21</v>
      </c>
      <c r="H9" s="38" t="s">
        <v>21</v>
      </c>
      <c r="I9" s="34">
        <v>0.2064</v>
      </c>
      <c r="J9" s="34">
        <v>0.2064</v>
      </c>
      <c r="K9" s="34">
        <v>0.2109</v>
      </c>
      <c r="L9" s="34">
        <v>0.20319999999999999</v>
      </c>
      <c r="M9" s="34">
        <v>7.7100000000000002E-2</v>
      </c>
      <c r="N9" s="61">
        <v>8.4000000000000005E-2</v>
      </c>
      <c r="O9" s="35">
        <v>382576.24</v>
      </c>
      <c r="P9" s="35">
        <f t="shared" si="1"/>
        <v>33781.480000000003</v>
      </c>
      <c r="Q9" s="35">
        <f t="shared" si="2"/>
        <v>104089.43</v>
      </c>
      <c r="R9" s="71">
        <f t="shared" si="3"/>
        <v>520447.14999999997</v>
      </c>
      <c r="S9" s="72">
        <f t="shared" si="0"/>
        <v>0.25954559000977645</v>
      </c>
      <c r="T9" s="20">
        <f t="shared" si="4"/>
        <v>0</v>
      </c>
    </row>
    <row r="10" spans="1:20" s="21" customFormat="1" ht="24.95" customHeight="1" thickTop="1" thickBot="1" x14ac:dyDescent="0.25">
      <c r="A10" s="42" t="s">
        <v>28</v>
      </c>
      <c r="B10" s="43" t="s">
        <v>29</v>
      </c>
      <c r="C10" s="63" t="s">
        <v>21</v>
      </c>
      <c r="D10" s="38" t="s">
        <v>21</v>
      </c>
      <c r="E10" s="38" t="s">
        <v>21</v>
      </c>
      <c r="F10" s="38" t="s">
        <v>21</v>
      </c>
      <c r="G10" s="38" t="s">
        <v>21</v>
      </c>
      <c r="H10" s="38" t="s">
        <v>21</v>
      </c>
      <c r="I10" s="36" t="s">
        <v>21</v>
      </c>
      <c r="J10" s="34">
        <v>0.29909999999999998</v>
      </c>
      <c r="K10" s="34">
        <v>0.36520000000000002</v>
      </c>
      <c r="L10" s="34">
        <v>0.14560000000000001</v>
      </c>
      <c r="M10" s="34">
        <v>0.11269999999999999</v>
      </c>
      <c r="N10" s="61">
        <v>7.7399999999999997E-2</v>
      </c>
      <c r="O10" s="35">
        <v>297066.27</v>
      </c>
      <c r="P10" s="35">
        <f t="shared" si="1"/>
        <v>26230.95</v>
      </c>
      <c r="Q10" s="35">
        <f t="shared" si="2"/>
        <v>80824.31</v>
      </c>
      <c r="R10" s="71">
        <f t="shared" si="3"/>
        <v>404121.53</v>
      </c>
      <c r="S10" s="72">
        <f t="shared" si="0"/>
        <v>0.20153431705698374</v>
      </c>
      <c r="T10" s="20">
        <f t="shared" si="4"/>
        <v>0</v>
      </c>
    </row>
    <row r="11" spans="1:20" s="21" customFormat="1" ht="24.95" customHeight="1" thickTop="1" thickBot="1" x14ac:dyDescent="0.25">
      <c r="A11" s="42" t="s">
        <v>30</v>
      </c>
      <c r="B11" s="43" t="s">
        <v>31</v>
      </c>
      <c r="C11" s="60">
        <v>1.8100000000000002E-2</v>
      </c>
      <c r="D11" s="38" t="s">
        <v>21</v>
      </c>
      <c r="E11" s="38" t="s">
        <v>21</v>
      </c>
      <c r="F11" s="38" t="s">
        <v>21</v>
      </c>
      <c r="G11" s="38" t="s">
        <v>21</v>
      </c>
      <c r="H11" s="38" t="s">
        <v>21</v>
      </c>
      <c r="I11" s="38" t="s">
        <v>21</v>
      </c>
      <c r="J11" s="36" t="s">
        <v>21</v>
      </c>
      <c r="K11" s="34">
        <v>0.14549999999999999</v>
      </c>
      <c r="L11" s="34">
        <v>0.2185</v>
      </c>
      <c r="M11" s="34">
        <v>0.41160000000000002</v>
      </c>
      <c r="N11" s="61">
        <v>0.20630000000000001</v>
      </c>
      <c r="O11" s="35">
        <v>163444.62</v>
      </c>
      <c r="P11" s="35">
        <f t="shared" si="1"/>
        <v>14432.16</v>
      </c>
      <c r="Q11" s="35">
        <f t="shared" si="2"/>
        <v>44469.2</v>
      </c>
      <c r="R11" s="71">
        <f t="shared" si="3"/>
        <v>222345.97999999998</v>
      </c>
      <c r="S11" s="72">
        <f t="shared" si="0"/>
        <v>0.11088334053784701</v>
      </c>
      <c r="T11" s="20">
        <f t="shared" si="4"/>
        <v>0</v>
      </c>
    </row>
    <row r="12" spans="1:20" s="21" customFormat="1" ht="24.95" customHeight="1" thickTop="1" thickBot="1" x14ac:dyDescent="0.25">
      <c r="A12" s="42" t="s">
        <v>32</v>
      </c>
      <c r="B12" s="43" t="s">
        <v>33</v>
      </c>
      <c r="C12" s="60">
        <v>3.8100000000000002E-2</v>
      </c>
      <c r="D12" s="34">
        <v>3.8100000000000002E-2</v>
      </c>
      <c r="E12" s="34">
        <v>3.8100000000000002E-2</v>
      </c>
      <c r="F12" s="34">
        <v>7.6200000000000004E-2</v>
      </c>
      <c r="G12" s="34">
        <v>7.6200000000000004E-2</v>
      </c>
      <c r="H12" s="34">
        <v>7.6200000000000004E-2</v>
      </c>
      <c r="I12" s="34">
        <v>7.6200000000000004E-2</v>
      </c>
      <c r="J12" s="34">
        <v>7.6200000000000004E-2</v>
      </c>
      <c r="K12" s="34">
        <v>7.6200000000000004E-2</v>
      </c>
      <c r="L12" s="34">
        <v>7.6200000000000004E-2</v>
      </c>
      <c r="M12" s="34">
        <v>7.6200000000000004E-2</v>
      </c>
      <c r="N12" s="61">
        <v>0.27610000000000001</v>
      </c>
      <c r="O12" s="35">
        <v>55390.47</v>
      </c>
      <c r="P12" s="35">
        <f t="shared" si="1"/>
        <v>4890.9799999999996</v>
      </c>
      <c r="Q12" s="35">
        <f t="shared" si="2"/>
        <v>15070.36</v>
      </c>
      <c r="R12" s="71">
        <f t="shared" si="3"/>
        <v>75351.81</v>
      </c>
      <c r="S12" s="72">
        <f t="shared" si="0"/>
        <v>3.7577744416036424E-2</v>
      </c>
      <c r="T12" s="20">
        <f t="shared" si="4"/>
        <v>0</v>
      </c>
    </row>
    <row r="13" spans="1:20" s="21" customFormat="1" ht="24.95" customHeight="1" thickTop="1" x14ac:dyDescent="0.2">
      <c r="A13" s="52"/>
      <c r="B13" s="53" t="s">
        <v>47</v>
      </c>
      <c r="C13" s="6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6"/>
      <c r="O13" s="54">
        <f>SUM(O6:O12)</f>
        <v>1474023.26</v>
      </c>
      <c r="P13" s="54">
        <f>SUM(P6:P12)</f>
        <v>130156.25</v>
      </c>
      <c r="Q13" s="54">
        <f>SUM(Q6:Q12)</f>
        <v>401044.88999999996</v>
      </c>
      <c r="R13" s="73">
        <f>SUM(R6:R12)</f>
        <v>2005224.4000000001</v>
      </c>
      <c r="S13" s="74"/>
      <c r="T13" s="20"/>
    </row>
    <row r="14" spans="1:20" s="21" customFormat="1" ht="24.95" customHeight="1" x14ac:dyDescent="0.2">
      <c r="A14" s="31"/>
      <c r="B14" s="22" t="s">
        <v>48</v>
      </c>
      <c r="C14" s="67">
        <v>4.2623640043875137E-2</v>
      </c>
      <c r="D14" s="56">
        <v>5.2135745082543782E-2</v>
      </c>
      <c r="E14" s="56">
        <v>5.1840224539459433E-2</v>
      </c>
      <c r="F14" s="56">
        <v>7.9758853172236327E-2</v>
      </c>
      <c r="G14" s="56">
        <v>8.0761309561920527E-2</v>
      </c>
      <c r="H14" s="56">
        <v>5.1417278107485614E-2</v>
      </c>
      <c r="I14" s="56">
        <v>9.2090019277206697E-2</v>
      </c>
      <c r="J14" s="56">
        <v>0.11956230260041158</v>
      </c>
      <c r="K14" s="56">
        <v>0.15018905209679434</v>
      </c>
      <c r="L14" s="56">
        <v>0.11203388453702418</v>
      </c>
      <c r="M14" s="56">
        <v>9.408026038183219E-2</v>
      </c>
      <c r="N14" s="68">
        <v>7.350743059921018E-2</v>
      </c>
      <c r="O14" s="40"/>
      <c r="P14" s="40"/>
      <c r="Q14" s="40"/>
      <c r="R14" s="75"/>
      <c r="S14" s="72">
        <f>+R13/$R$13</f>
        <v>1</v>
      </c>
      <c r="T14" s="20">
        <f t="shared" si="4"/>
        <v>0</v>
      </c>
    </row>
    <row r="15" spans="1:20" s="21" customFormat="1" ht="24.95" customHeight="1" x14ac:dyDescent="0.2">
      <c r="A15" s="32"/>
      <c r="B15" s="33" t="s">
        <v>49</v>
      </c>
      <c r="C15" s="69">
        <f t="shared" ref="C15:N15" si="5">+C14*$R$13</f>
        <v>85469.963032795495</v>
      </c>
      <c r="D15" s="57">
        <f t="shared" si="5"/>
        <v>104543.86815169681</v>
      </c>
      <c r="E15" s="57">
        <f t="shared" si="5"/>
        <v>103951.28314800283</v>
      </c>
      <c r="F15" s="57">
        <f t="shared" si="5"/>
        <v>159934.3984969857</v>
      </c>
      <c r="G15" s="57">
        <f t="shared" si="5"/>
        <v>161944.54850951637</v>
      </c>
      <c r="H15" s="57">
        <f t="shared" si="5"/>
        <v>103103.18064271599</v>
      </c>
      <c r="I15" s="57">
        <f t="shared" si="5"/>
        <v>184661.15365112523</v>
      </c>
      <c r="J15" s="57">
        <f t="shared" si="5"/>
        <v>239749.24649452875</v>
      </c>
      <c r="K15" s="57">
        <f t="shared" si="5"/>
        <v>301162.75187736319</v>
      </c>
      <c r="L15" s="57">
        <f t="shared" si="5"/>
        <v>224653.0789004236</v>
      </c>
      <c r="M15" s="57">
        <f t="shared" si="5"/>
        <v>188652.03367600322</v>
      </c>
      <c r="N15" s="70">
        <f t="shared" si="5"/>
        <v>147398.8934188429</v>
      </c>
      <c r="O15" s="41"/>
      <c r="P15" s="41"/>
      <c r="Q15" s="41"/>
      <c r="R15" s="76">
        <f>SUM(C15:N15)</f>
        <v>2005224.4000000004</v>
      </c>
      <c r="S15" s="77">
        <f>+R15-R13</f>
        <v>0</v>
      </c>
      <c r="T15" s="20"/>
    </row>
    <row r="16" spans="1:20" s="21" customFormat="1" ht="24.95" customHeight="1" x14ac:dyDescent="0.2">
      <c r="A16" s="22"/>
      <c r="B16" s="2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40"/>
      <c r="P16" s="40"/>
      <c r="Q16" s="40"/>
      <c r="R16" s="80"/>
      <c r="S16" s="81"/>
      <c r="T16" s="20"/>
    </row>
    <row r="17" spans="1:20" ht="24.95" customHeight="1" x14ac:dyDescent="0.2">
      <c r="B17" s="6" t="s">
        <v>37</v>
      </c>
      <c r="C17" s="3">
        <f>C21/$N$23</f>
        <v>4.2623640043875137E-2</v>
      </c>
      <c r="D17" s="3">
        <f t="shared" ref="D17:N17" si="6">D21/$N$23</f>
        <v>5.2135745082543782E-2</v>
      </c>
      <c r="E17" s="3">
        <f t="shared" si="6"/>
        <v>5.1840224539459433E-2</v>
      </c>
      <c r="F17" s="3">
        <f t="shared" si="6"/>
        <v>7.9758853172236327E-2</v>
      </c>
      <c r="G17" s="3">
        <f t="shared" si="6"/>
        <v>8.0761309561920527E-2</v>
      </c>
      <c r="H17" s="3">
        <f t="shared" si="6"/>
        <v>5.1417278107485614E-2</v>
      </c>
      <c r="I17" s="3">
        <f t="shared" si="6"/>
        <v>9.2090019277206697E-2</v>
      </c>
      <c r="J17" s="3">
        <f t="shared" si="6"/>
        <v>0.11956230260041158</v>
      </c>
      <c r="K17" s="3">
        <f t="shared" si="6"/>
        <v>0.15018905209679434</v>
      </c>
      <c r="L17" s="3">
        <f t="shared" si="6"/>
        <v>0.11203388453702418</v>
      </c>
      <c r="M17" s="3">
        <f t="shared" si="6"/>
        <v>9.408026038183219E-2</v>
      </c>
      <c r="N17" s="3">
        <f t="shared" si="6"/>
        <v>7.350743059921018E-2</v>
      </c>
      <c r="O17" s="2"/>
      <c r="P17" s="2"/>
      <c r="Q17" s="2"/>
      <c r="R17" s="2"/>
    </row>
    <row r="18" spans="1:20" s="8" customFormat="1" ht="15" customHeight="1" x14ac:dyDescent="0.2">
      <c r="B18" s="9" t="s">
        <v>39</v>
      </c>
      <c r="C18" s="11">
        <f>78535.3/1.25</f>
        <v>62828.240000000005</v>
      </c>
      <c r="D18" s="11">
        <f>96061.63/1.25</f>
        <v>76849.304000000004</v>
      </c>
      <c r="E18" s="11">
        <f>95517.12/1.25</f>
        <v>76413.695999999996</v>
      </c>
      <c r="F18" s="11">
        <f>146958.01/1.25</f>
        <v>117566.40800000001</v>
      </c>
      <c r="G18" s="11">
        <f>148805.06/1.25</f>
        <v>119044.048</v>
      </c>
      <c r="H18" s="11">
        <f>94737.83/1.25</f>
        <v>75790.263999999996</v>
      </c>
      <c r="I18" s="11">
        <f>169678.54/1.25</f>
        <v>135742.83199999999</v>
      </c>
      <c r="J18" s="11">
        <f>220297.02/1.25</f>
        <v>176237.61599999998</v>
      </c>
      <c r="K18" s="11">
        <f>276727.7/1.25</f>
        <v>221382.16</v>
      </c>
      <c r="L18" s="11">
        <f>206425.69/1.25</f>
        <v>165140.552</v>
      </c>
      <c r="M18" s="11">
        <f>173345.62/1.25</f>
        <v>138676.49599999998</v>
      </c>
      <c r="N18" s="11">
        <f>135439.58/1.25</f>
        <v>108351.66399999999</v>
      </c>
      <c r="O18" s="10"/>
      <c r="P18" s="10"/>
      <c r="Q18" s="10"/>
      <c r="R18" s="10"/>
    </row>
    <row r="19" spans="1:20" s="8" customFormat="1" ht="15" customHeight="1" x14ac:dyDescent="0.2">
      <c r="B19" s="9" t="s">
        <v>35</v>
      </c>
      <c r="C19" s="11">
        <f>ROUND(0.0883*C18,2)</f>
        <v>5547.73</v>
      </c>
      <c r="D19" s="11">
        <f t="shared" ref="D19:N19" si="7">ROUND(0.0883*D18,2)</f>
        <v>6785.79</v>
      </c>
      <c r="E19" s="11">
        <f t="shared" si="7"/>
        <v>6747.33</v>
      </c>
      <c r="F19" s="11">
        <f t="shared" si="7"/>
        <v>10381.11</v>
      </c>
      <c r="G19" s="11">
        <f t="shared" si="7"/>
        <v>10511.59</v>
      </c>
      <c r="H19" s="11">
        <f t="shared" si="7"/>
        <v>6692.28</v>
      </c>
      <c r="I19" s="11">
        <f t="shared" si="7"/>
        <v>11986.09</v>
      </c>
      <c r="J19" s="11">
        <f t="shared" si="7"/>
        <v>15561.78</v>
      </c>
      <c r="K19" s="11">
        <f t="shared" si="7"/>
        <v>19548.04</v>
      </c>
      <c r="L19" s="11">
        <f t="shared" si="7"/>
        <v>14581.91</v>
      </c>
      <c r="M19" s="11">
        <f t="shared" si="7"/>
        <v>12245.13</v>
      </c>
      <c r="N19" s="11">
        <f t="shared" si="7"/>
        <v>9567.4500000000007</v>
      </c>
      <c r="O19" s="12">
        <v>8.8300000000000003E-2</v>
      </c>
      <c r="P19" s="12">
        <v>8.8300000000000003E-2</v>
      </c>
      <c r="Q19" s="12">
        <v>8.8300000000000003E-2</v>
      </c>
      <c r="R19" s="12">
        <v>8.8300000000000003E-2</v>
      </c>
    </row>
    <row r="20" spans="1:20" s="8" customFormat="1" ht="15" customHeight="1" x14ac:dyDescent="0.2">
      <c r="B20" s="9" t="s">
        <v>38</v>
      </c>
      <c r="C20" s="11">
        <f t="shared" ref="C20:N20" si="8">0.25*(C18+C19)</f>
        <v>17093.9925</v>
      </c>
      <c r="D20" s="11">
        <f t="shared" si="8"/>
        <v>20908.773499999999</v>
      </c>
      <c r="E20" s="11">
        <f t="shared" si="8"/>
        <v>20790.2565</v>
      </c>
      <c r="F20" s="11">
        <f t="shared" si="8"/>
        <v>31986.879500000003</v>
      </c>
      <c r="G20" s="11">
        <f t="shared" si="8"/>
        <v>32388.909499999998</v>
      </c>
      <c r="H20" s="11">
        <f t="shared" si="8"/>
        <v>20620.635999999999</v>
      </c>
      <c r="I20" s="11">
        <f t="shared" si="8"/>
        <v>36932.230499999998</v>
      </c>
      <c r="J20" s="11">
        <f t="shared" si="8"/>
        <v>47949.848999999995</v>
      </c>
      <c r="K20" s="11">
        <f t="shared" si="8"/>
        <v>60232.55</v>
      </c>
      <c r="L20" s="11">
        <f t="shared" si="8"/>
        <v>44930.6155</v>
      </c>
      <c r="M20" s="11">
        <f t="shared" si="8"/>
        <v>37730.406499999997</v>
      </c>
      <c r="N20" s="11">
        <f t="shared" si="8"/>
        <v>29479.778499999997</v>
      </c>
      <c r="O20" s="12">
        <v>0.25</v>
      </c>
      <c r="P20" s="12">
        <v>0.25</v>
      </c>
      <c r="Q20" s="12">
        <v>0.25</v>
      </c>
      <c r="R20" s="12">
        <v>0.25</v>
      </c>
    </row>
    <row r="21" spans="1:20" ht="24.95" customHeight="1" x14ac:dyDescent="0.2">
      <c r="B21" s="13" t="s">
        <v>40</v>
      </c>
      <c r="C21" s="15">
        <f t="shared" ref="C21:N21" si="9">C18+C19+C20</f>
        <v>85469.962499999994</v>
      </c>
      <c r="D21" s="15">
        <f t="shared" si="9"/>
        <v>104543.86749999999</v>
      </c>
      <c r="E21" s="15">
        <f t="shared" si="9"/>
        <v>103951.2825</v>
      </c>
      <c r="F21" s="15">
        <f t="shared" si="9"/>
        <v>159934.39750000002</v>
      </c>
      <c r="G21" s="15">
        <f t="shared" si="9"/>
        <v>161944.54749999999</v>
      </c>
      <c r="H21" s="15">
        <f t="shared" si="9"/>
        <v>103103.18</v>
      </c>
      <c r="I21" s="15">
        <f t="shared" si="9"/>
        <v>184661.1525</v>
      </c>
      <c r="J21" s="15">
        <f t="shared" si="9"/>
        <v>239749.24499999997</v>
      </c>
      <c r="K21" s="15">
        <f t="shared" si="9"/>
        <v>301162.75</v>
      </c>
      <c r="L21" s="15">
        <f t="shared" si="9"/>
        <v>224653.07750000001</v>
      </c>
      <c r="M21" s="15">
        <f t="shared" si="9"/>
        <v>188652.03249999997</v>
      </c>
      <c r="N21" s="15">
        <f t="shared" si="9"/>
        <v>147398.89249999999</v>
      </c>
      <c r="O21" s="14"/>
      <c r="P21" s="14"/>
      <c r="Q21" s="14"/>
      <c r="R21" s="14"/>
      <c r="T21" s="4"/>
    </row>
    <row r="22" spans="1:20" ht="15" customHeight="1" x14ac:dyDescent="0.2">
      <c r="B22" s="7" t="s">
        <v>34</v>
      </c>
      <c r="C22" s="3">
        <f>C23/$N$23</f>
        <v>4.2623640043875137E-2</v>
      </c>
      <c r="D22" s="3">
        <f t="shared" ref="D22:N22" si="10">D23/$N$23</f>
        <v>9.4759385126418919E-2</v>
      </c>
      <c r="E22" s="3">
        <f t="shared" si="10"/>
        <v>0.14659960966587834</v>
      </c>
      <c r="F22" s="3">
        <f t="shared" si="10"/>
        <v>0.22635846283811467</v>
      </c>
      <c r="G22" s="3">
        <f t="shared" si="10"/>
        <v>0.30711977240003518</v>
      </c>
      <c r="H22" s="3">
        <f t="shared" si="10"/>
        <v>0.35853705050752083</v>
      </c>
      <c r="I22" s="3">
        <f t="shared" si="10"/>
        <v>0.45062706978472755</v>
      </c>
      <c r="J22" s="3">
        <f t="shared" si="10"/>
        <v>0.57018937238513911</v>
      </c>
      <c r="K22" s="3">
        <f t="shared" si="10"/>
        <v>0.72037842448193345</v>
      </c>
      <c r="L22" s="3">
        <f t="shared" si="10"/>
        <v>0.83241230901895757</v>
      </c>
      <c r="M22" s="3">
        <f t="shared" si="10"/>
        <v>0.92649256940078972</v>
      </c>
      <c r="N22" s="3">
        <f t="shared" si="10"/>
        <v>1</v>
      </c>
      <c r="O22" s="2"/>
      <c r="P22" s="2"/>
      <c r="Q22" s="2"/>
      <c r="R22" s="2"/>
    </row>
    <row r="23" spans="1:20" ht="15" customHeight="1" x14ac:dyDescent="0.2">
      <c r="B23" s="16" t="s">
        <v>36</v>
      </c>
      <c r="C23" s="18">
        <f>C21</f>
        <v>85469.962499999994</v>
      </c>
      <c r="D23" s="18">
        <f>C23+D21</f>
        <v>190013.83</v>
      </c>
      <c r="E23" s="18">
        <f t="shared" ref="E23:N23" si="11">D23+E21</f>
        <v>293965.11249999999</v>
      </c>
      <c r="F23" s="18">
        <f t="shared" si="11"/>
        <v>453899.51</v>
      </c>
      <c r="G23" s="18">
        <f t="shared" si="11"/>
        <v>615844.0575</v>
      </c>
      <c r="H23" s="18">
        <f t="shared" si="11"/>
        <v>718947.23750000005</v>
      </c>
      <c r="I23" s="18">
        <f t="shared" si="11"/>
        <v>903608.39</v>
      </c>
      <c r="J23" s="18">
        <f t="shared" si="11"/>
        <v>1143357.635</v>
      </c>
      <c r="K23" s="18">
        <f t="shared" si="11"/>
        <v>1444520.385</v>
      </c>
      <c r="L23" s="18">
        <f t="shared" si="11"/>
        <v>1669173.4624999999</v>
      </c>
      <c r="M23" s="18">
        <f t="shared" si="11"/>
        <v>1857825.4949999999</v>
      </c>
      <c r="N23" s="18">
        <f t="shared" si="11"/>
        <v>2005224.3875</v>
      </c>
      <c r="O23" s="17"/>
      <c r="P23" s="17"/>
      <c r="Q23" s="17"/>
      <c r="R23" s="17"/>
    </row>
    <row r="24" spans="1:20" x14ac:dyDescent="0.2">
      <c r="A24" s="5"/>
      <c r="B24" s="5"/>
      <c r="C24" s="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5"/>
      <c r="Q24" s="5"/>
      <c r="R24" s="5"/>
    </row>
  </sheetData>
  <mergeCells count="5">
    <mergeCell ref="C2:D2"/>
    <mergeCell ref="E2:F2"/>
    <mergeCell ref="C3:D3"/>
    <mergeCell ref="E3:F3"/>
    <mergeCell ref="G3:O3"/>
  </mergeCells>
  <printOptions horizontalCentered="1"/>
  <pageMargins left="0.19685039370078741" right="0.19685039370078741" top="0.98425196850393704" bottom="0.59055118110236227" header="0.39370078740157483" footer="0.31496062992125984"/>
  <pageSetup paperSize="8" scale="90" orientation="landscape" r:id="rId1"/>
  <headerFooter>
    <oddHeader>&amp;L &amp;CMinha Empresa
CNPJ:  &amp;R</oddHeader>
    <oddFooter>&amp;L &amp;C  -  -  / SP
 / igorvsantana@hotmail.com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9F0F-6D31-4191-8FC8-A2065BD42E63}">
  <sheetPr>
    <pageSetUpPr fitToPage="1"/>
  </sheetPr>
  <dimension ref="A1:T24"/>
  <sheetViews>
    <sheetView showGridLines="0" tabSelected="1" showOutlineSymbols="0" showWhiteSpace="0" topLeftCell="A4" zoomScale="115" zoomScaleNormal="115" workbookViewId="0">
      <selection activeCell="U22" sqref="U22"/>
    </sheetView>
  </sheetViews>
  <sheetFormatPr defaultColWidth="9" defaultRowHeight="14.25" x14ac:dyDescent="0.2"/>
  <cols>
    <col min="1" max="1" width="2.5" style="1" customWidth="1"/>
    <col min="2" max="2" width="19.25" style="1" customWidth="1"/>
    <col min="3" max="3" width="8.5" style="1" bestFit="1" customWidth="1"/>
    <col min="4" max="14" width="7.625" style="1" customWidth="1"/>
    <col min="15" max="15" width="9" style="1" bestFit="1" customWidth="1"/>
    <col min="16" max="16" width="9.375" style="1" bestFit="1" customWidth="1"/>
    <col min="17" max="17" width="7.625" style="1" bestFit="1" customWidth="1"/>
    <col min="18" max="18" width="9.625" style="1" customWidth="1"/>
    <col min="19" max="19" width="4.75" style="1" bestFit="1" customWidth="1"/>
    <col min="20" max="33" width="12" style="1" bestFit="1" customWidth="1"/>
    <col min="34" max="16384" width="9" style="1"/>
  </cols>
  <sheetData>
    <row r="1" spans="1:20" ht="30" customHeight="1" x14ac:dyDescent="0.2">
      <c r="A1" s="44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15" x14ac:dyDescent="0.2">
      <c r="A2" s="46"/>
      <c r="B2" s="23" t="s">
        <v>43</v>
      </c>
      <c r="C2" s="114" t="s">
        <v>1</v>
      </c>
      <c r="D2" s="114"/>
      <c r="E2" s="114" t="s">
        <v>2</v>
      </c>
      <c r="F2" s="114"/>
      <c r="G2" s="24" t="s">
        <v>0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</row>
    <row r="3" spans="1:20" ht="53.25" customHeight="1" x14ac:dyDescent="0.2">
      <c r="A3" s="47"/>
      <c r="B3" s="26" t="s">
        <v>51</v>
      </c>
      <c r="C3" s="115" t="s">
        <v>3</v>
      </c>
      <c r="D3" s="115"/>
      <c r="E3" s="115" t="s">
        <v>4</v>
      </c>
      <c r="F3" s="115"/>
      <c r="G3" s="116" t="s">
        <v>41</v>
      </c>
      <c r="H3" s="116"/>
      <c r="I3" s="116"/>
      <c r="J3" s="116"/>
      <c r="K3" s="116"/>
      <c r="L3" s="116"/>
      <c r="M3" s="116"/>
      <c r="N3" s="116"/>
      <c r="O3" s="116"/>
      <c r="P3" s="27"/>
      <c r="Q3" s="27"/>
      <c r="R3" s="27"/>
      <c r="S3" s="48"/>
    </row>
    <row r="4" spans="1:20" ht="15" customHeight="1" x14ac:dyDescent="0.2">
      <c r="A4" s="2"/>
      <c r="B4" s="28"/>
      <c r="C4" s="2"/>
      <c r="D4" s="2"/>
      <c r="E4" s="2"/>
      <c r="F4" s="2"/>
      <c r="G4" s="29"/>
      <c r="H4" s="29"/>
      <c r="I4" s="29"/>
      <c r="J4" s="29"/>
      <c r="K4" s="29"/>
      <c r="L4" s="29"/>
      <c r="M4" s="29"/>
      <c r="N4" s="29"/>
    </row>
    <row r="5" spans="1:20" ht="24.95" customHeight="1" x14ac:dyDescent="0.2">
      <c r="A5" s="101" t="s">
        <v>59</v>
      </c>
      <c r="B5" s="50"/>
      <c r="C5" s="58" t="s">
        <v>60</v>
      </c>
      <c r="D5" s="51" t="s">
        <v>61</v>
      </c>
      <c r="E5" s="51" t="s">
        <v>62</v>
      </c>
      <c r="F5" s="51" t="s">
        <v>63</v>
      </c>
      <c r="G5" s="51" t="s">
        <v>64</v>
      </c>
      <c r="H5" s="51" t="s">
        <v>65</v>
      </c>
      <c r="I5" s="51" t="s">
        <v>66</v>
      </c>
      <c r="J5" s="51" t="s">
        <v>67</v>
      </c>
      <c r="K5" s="51" t="s">
        <v>68</v>
      </c>
      <c r="L5" s="51" t="s">
        <v>69</v>
      </c>
      <c r="M5" s="51" t="s">
        <v>70</v>
      </c>
      <c r="N5" s="59" t="s">
        <v>71</v>
      </c>
      <c r="O5" s="82" t="s">
        <v>46</v>
      </c>
      <c r="P5" s="82" t="s">
        <v>44</v>
      </c>
      <c r="Q5" s="82" t="s">
        <v>45</v>
      </c>
      <c r="R5" s="78" t="s">
        <v>50</v>
      </c>
      <c r="S5" s="79"/>
    </row>
    <row r="6" spans="1:20" s="21" customFormat="1" ht="24.95" customHeight="1" thickBot="1" x14ac:dyDescent="0.25">
      <c r="A6" s="42" t="s">
        <v>19</v>
      </c>
      <c r="B6" s="43" t="s">
        <v>52</v>
      </c>
      <c r="C6" s="89">
        <v>0.435</v>
      </c>
      <c r="D6" s="90">
        <v>4.7500000000000001E-2</v>
      </c>
      <c r="E6" s="90">
        <v>4.3099999999999999E-2</v>
      </c>
      <c r="F6" s="90">
        <v>8.6300000000000002E-2</v>
      </c>
      <c r="G6" s="90">
        <v>8.6300000000000002E-2</v>
      </c>
      <c r="H6" s="90">
        <v>4.3099999999999999E-2</v>
      </c>
      <c r="I6" s="90">
        <v>4.3099999999999999E-2</v>
      </c>
      <c r="J6" s="90">
        <v>4.3099999999999999E-2</v>
      </c>
      <c r="K6" s="90">
        <v>4.3099999999999999E-2</v>
      </c>
      <c r="L6" s="90">
        <v>4.3099999999999999E-2</v>
      </c>
      <c r="M6" s="90">
        <v>4.3099999999999999E-2</v>
      </c>
      <c r="N6" s="91">
        <v>4.3200000000000002E-2</v>
      </c>
      <c r="O6" s="102"/>
      <c r="P6" s="102">
        <f>ROUND(O6*0.0883,2)</f>
        <v>0</v>
      </c>
      <c r="Q6" s="102">
        <f>ROUND((O6+P6)*0.25,2)</f>
        <v>0</v>
      </c>
      <c r="R6" s="99">
        <f>SUM(O6:Q6)</f>
        <v>0</v>
      </c>
      <c r="S6" s="100" t="e">
        <f t="shared" ref="S6:S12" si="0">+R6/$R$15</f>
        <v>#DIV/0!</v>
      </c>
      <c r="T6" s="20">
        <f>SUM(C6:N6)-1</f>
        <v>0</v>
      </c>
    </row>
    <row r="7" spans="1:20" s="21" customFormat="1" ht="24.95" customHeight="1" thickTop="1" thickBot="1" x14ac:dyDescent="0.25">
      <c r="A7" s="42" t="s">
        <v>22</v>
      </c>
      <c r="B7" s="43" t="s">
        <v>53</v>
      </c>
      <c r="C7" s="89">
        <v>4.2299999999999997E-2</v>
      </c>
      <c r="D7" s="90">
        <v>5.3999999999999999E-2</v>
      </c>
      <c r="E7" s="90">
        <v>5.3999999999999999E-2</v>
      </c>
      <c r="F7" s="90">
        <v>0.19220000000000001</v>
      </c>
      <c r="G7" s="90">
        <v>0.1981</v>
      </c>
      <c r="H7" s="90">
        <v>0.26750000000000002</v>
      </c>
      <c r="I7" s="90">
        <v>0.19189999999999999</v>
      </c>
      <c r="J7" s="92" t="s">
        <v>21</v>
      </c>
      <c r="K7" s="92" t="s">
        <v>21</v>
      </c>
      <c r="L7" s="92" t="s">
        <v>21</v>
      </c>
      <c r="M7" s="92" t="s">
        <v>21</v>
      </c>
      <c r="N7" s="93" t="s">
        <v>21</v>
      </c>
      <c r="O7" s="102"/>
      <c r="P7" s="102">
        <f t="shared" ref="P7:P12" si="1">ROUND(O7*0.0883,2)</f>
        <v>0</v>
      </c>
      <c r="Q7" s="102">
        <f t="shared" ref="Q7:Q12" si="2">ROUND((O7+P7)*0.25,2)</f>
        <v>0</v>
      </c>
      <c r="R7" s="99">
        <f t="shared" ref="R7:R12" si="3">SUM(O7:Q7)</f>
        <v>0</v>
      </c>
      <c r="S7" s="100" t="e">
        <f t="shared" si="0"/>
        <v>#DIV/0!</v>
      </c>
      <c r="T7" s="20">
        <f t="shared" ref="T7:T14" si="4">SUM(C7:N7)-1</f>
        <v>0</v>
      </c>
    </row>
    <row r="8" spans="1:20" s="21" customFormat="1" ht="24.95" customHeight="1" thickTop="1" thickBot="1" x14ac:dyDescent="0.25">
      <c r="A8" s="42" t="s">
        <v>24</v>
      </c>
      <c r="B8" s="43" t="s">
        <v>54</v>
      </c>
      <c r="C8" s="94" t="s">
        <v>21</v>
      </c>
      <c r="D8" s="95">
        <v>0.25</v>
      </c>
      <c r="E8" s="95">
        <v>0.25</v>
      </c>
      <c r="F8" s="95">
        <v>0.25</v>
      </c>
      <c r="G8" s="95">
        <v>0.25</v>
      </c>
      <c r="H8" s="92" t="s">
        <v>21</v>
      </c>
      <c r="I8" s="92" t="s">
        <v>21</v>
      </c>
      <c r="J8" s="96" t="s">
        <v>21</v>
      </c>
      <c r="K8" s="96" t="s">
        <v>21</v>
      </c>
      <c r="L8" s="96" t="s">
        <v>21</v>
      </c>
      <c r="M8" s="96" t="s">
        <v>21</v>
      </c>
      <c r="N8" s="97" t="s">
        <v>21</v>
      </c>
      <c r="O8" s="102"/>
      <c r="P8" s="102">
        <f t="shared" si="1"/>
        <v>0</v>
      </c>
      <c r="Q8" s="102">
        <f t="shared" si="2"/>
        <v>0</v>
      </c>
      <c r="R8" s="99">
        <f t="shared" si="3"/>
        <v>0</v>
      </c>
      <c r="S8" s="100" t="e">
        <f t="shared" si="0"/>
        <v>#DIV/0!</v>
      </c>
      <c r="T8" s="20">
        <f t="shared" si="4"/>
        <v>0</v>
      </c>
    </row>
    <row r="9" spans="1:20" s="21" customFormat="1" ht="24.95" customHeight="1" thickTop="1" thickBot="1" x14ac:dyDescent="0.25">
      <c r="A9" s="42" t="s">
        <v>26</v>
      </c>
      <c r="B9" s="43" t="s">
        <v>55</v>
      </c>
      <c r="C9" s="89">
        <v>1.2E-2</v>
      </c>
      <c r="D9" s="98" t="s">
        <v>21</v>
      </c>
      <c r="E9" s="98" t="s">
        <v>21</v>
      </c>
      <c r="F9" s="98" t="s">
        <v>21</v>
      </c>
      <c r="G9" s="98" t="s">
        <v>21</v>
      </c>
      <c r="H9" s="96" t="s">
        <v>21</v>
      </c>
      <c r="I9" s="90">
        <v>0.2064</v>
      </c>
      <c r="J9" s="90">
        <v>0.2064</v>
      </c>
      <c r="K9" s="90">
        <v>0.2109</v>
      </c>
      <c r="L9" s="90">
        <v>0.20319999999999999</v>
      </c>
      <c r="M9" s="90">
        <v>7.7100000000000002E-2</v>
      </c>
      <c r="N9" s="91">
        <v>8.4000000000000005E-2</v>
      </c>
      <c r="O9" s="102"/>
      <c r="P9" s="102">
        <f t="shared" si="1"/>
        <v>0</v>
      </c>
      <c r="Q9" s="102">
        <f t="shared" si="2"/>
        <v>0</v>
      </c>
      <c r="R9" s="99">
        <f t="shared" si="3"/>
        <v>0</v>
      </c>
      <c r="S9" s="100" t="e">
        <f t="shared" si="0"/>
        <v>#DIV/0!</v>
      </c>
      <c r="T9" s="20">
        <f t="shared" si="4"/>
        <v>0</v>
      </c>
    </row>
    <row r="10" spans="1:20" s="21" customFormat="1" ht="24.95" customHeight="1" thickTop="1" thickBot="1" x14ac:dyDescent="0.25">
      <c r="A10" s="42" t="s">
        <v>28</v>
      </c>
      <c r="B10" s="43" t="s">
        <v>56</v>
      </c>
      <c r="C10" s="94" t="s">
        <v>21</v>
      </c>
      <c r="D10" s="96" t="s">
        <v>21</v>
      </c>
      <c r="E10" s="96" t="s">
        <v>21</v>
      </c>
      <c r="F10" s="96" t="s">
        <v>21</v>
      </c>
      <c r="G10" s="96" t="s">
        <v>21</v>
      </c>
      <c r="H10" s="96" t="s">
        <v>21</v>
      </c>
      <c r="I10" s="92" t="s">
        <v>21</v>
      </c>
      <c r="J10" s="90">
        <v>0.29909999999999998</v>
      </c>
      <c r="K10" s="90">
        <v>0.36520000000000002</v>
      </c>
      <c r="L10" s="90">
        <v>0.14560000000000001</v>
      </c>
      <c r="M10" s="90">
        <v>0.11269999999999999</v>
      </c>
      <c r="N10" s="91">
        <v>7.7399999999999997E-2</v>
      </c>
      <c r="O10" s="102"/>
      <c r="P10" s="102">
        <f t="shared" si="1"/>
        <v>0</v>
      </c>
      <c r="Q10" s="102">
        <f t="shared" si="2"/>
        <v>0</v>
      </c>
      <c r="R10" s="99">
        <f t="shared" si="3"/>
        <v>0</v>
      </c>
      <c r="S10" s="100" t="e">
        <f t="shared" si="0"/>
        <v>#DIV/0!</v>
      </c>
      <c r="T10" s="20">
        <f t="shared" si="4"/>
        <v>0</v>
      </c>
    </row>
    <row r="11" spans="1:20" s="21" customFormat="1" ht="24.95" customHeight="1" thickTop="1" thickBot="1" x14ac:dyDescent="0.25">
      <c r="A11" s="42" t="s">
        <v>30</v>
      </c>
      <c r="B11" s="43" t="s">
        <v>57</v>
      </c>
      <c r="C11" s="89">
        <v>1.8100000000000002E-2</v>
      </c>
      <c r="D11" s="96" t="s">
        <v>21</v>
      </c>
      <c r="E11" s="96" t="s">
        <v>21</v>
      </c>
      <c r="F11" s="96" t="s">
        <v>21</v>
      </c>
      <c r="G11" s="96" t="s">
        <v>21</v>
      </c>
      <c r="H11" s="96" t="s">
        <v>21</v>
      </c>
      <c r="I11" s="96" t="s">
        <v>21</v>
      </c>
      <c r="J11" s="92" t="s">
        <v>21</v>
      </c>
      <c r="K11" s="90">
        <v>0.14549999999999999</v>
      </c>
      <c r="L11" s="90">
        <v>0.2185</v>
      </c>
      <c r="M11" s="90">
        <v>0.41160000000000002</v>
      </c>
      <c r="N11" s="91">
        <v>0.20630000000000001</v>
      </c>
      <c r="O11" s="102"/>
      <c r="P11" s="102">
        <f t="shared" si="1"/>
        <v>0</v>
      </c>
      <c r="Q11" s="102">
        <f t="shared" si="2"/>
        <v>0</v>
      </c>
      <c r="R11" s="99">
        <f t="shared" si="3"/>
        <v>0</v>
      </c>
      <c r="S11" s="100" t="e">
        <f t="shared" si="0"/>
        <v>#DIV/0!</v>
      </c>
      <c r="T11" s="20">
        <f t="shared" si="4"/>
        <v>0</v>
      </c>
    </row>
    <row r="12" spans="1:20" s="21" customFormat="1" ht="24.95" customHeight="1" thickTop="1" thickBot="1" x14ac:dyDescent="0.25">
      <c r="A12" s="42" t="s">
        <v>32</v>
      </c>
      <c r="B12" s="43" t="s">
        <v>58</v>
      </c>
      <c r="C12" s="89">
        <v>3.8100000000000002E-2</v>
      </c>
      <c r="D12" s="90">
        <v>3.8100000000000002E-2</v>
      </c>
      <c r="E12" s="90">
        <v>3.8100000000000002E-2</v>
      </c>
      <c r="F12" s="90">
        <v>7.6200000000000004E-2</v>
      </c>
      <c r="G12" s="90">
        <v>7.6200000000000004E-2</v>
      </c>
      <c r="H12" s="90">
        <v>7.6200000000000004E-2</v>
      </c>
      <c r="I12" s="90">
        <v>7.6200000000000004E-2</v>
      </c>
      <c r="J12" s="90">
        <v>7.6200000000000004E-2</v>
      </c>
      <c r="K12" s="90">
        <v>7.6200000000000004E-2</v>
      </c>
      <c r="L12" s="90">
        <v>7.6200000000000004E-2</v>
      </c>
      <c r="M12" s="90">
        <v>7.6200000000000004E-2</v>
      </c>
      <c r="N12" s="91">
        <v>0.27610000000000001</v>
      </c>
      <c r="O12" s="102"/>
      <c r="P12" s="102">
        <f t="shared" si="1"/>
        <v>0</v>
      </c>
      <c r="Q12" s="102">
        <f t="shared" si="2"/>
        <v>0</v>
      </c>
      <c r="R12" s="99">
        <f t="shared" si="3"/>
        <v>0</v>
      </c>
      <c r="S12" s="100" t="e">
        <f t="shared" si="0"/>
        <v>#DIV/0!</v>
      </c>
      <c r="T12" s="20">
        <f t="shared" si="4"/>
        <v>0</v>
      </c>
    </row>
    <row r="13" spans="1:20" s="21" customFormat="1" ht="5.0999999999999996" customHeight="1" thickTop="1" x14ac:dyDescent="0.2">
      <c r="A13" s="32"/>
      <c r="B13" s="111"/>
      <c r="C13" s="6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6"/>
      <c r="O13" s="112"/>
      <c r="P13" s="113"/>
      <c r="Q13" s="113"/>
      <c r="R13" s="113"/>
      <c r="S13" s="110"/>
      <c r="T13" s="20"/>
    </row>
    <row r="14" spans="1:20" s="21" customFormat="1" ht="24.95" customHeight="1" x14ac:dyDescent="0.2">
      <c r="A14" s="52"/>
      <c r="B14" s="53" t="s">
        <v>48</v>
      </c>
      <c r="C14" s="104">
        <v>4.2623640043875137E-2</v>
      </c>
      <c r="D14" s="105">
        <v>5.2135745082543782E-2</v>
      </c>
      <c r="E14" s="105">
        <v>5.1840224539459433E-2</v>
      </c>
      <c r="F14" s="105">
        <v>7.9758853172236327E-2</v>
      </c>
      <c r="G14" s="105">
        <v>8.0761309561920527E-2</v>
      </c>
      <c r="H14" s="105">
        <v>5.1417278107485614E-2</v>
      </c>
      <c r="I14" s="105">
        <v>9.2090019277206697E-2</v>
      </c>
      <c r="J14" s="105">
        <v>0.11956230260041158</v>
      </c>
      <c r="K14" s="105">
        <v>0.15018905209679434</v>
      </c>
      <c r="L14" s="105">
        <v>0.11203388453702418</v>
      </c>
      <c r="M14" s="105">
        <v>9.408026038183219E-2</v>
      </c>
      <c r="N14" s="106">
        <v>7.350743059921018E-2</v>
      </c>
      <c r="O14" s="107"/>
      <c r="P14" s="107"/>
      <c r="Q14" s="107"/>
      <c r="R14" s="108"/>
      <c r="S14" s="109"/>
      <c r="T14" s="20">
        <f t="shared" si="4"/>
        <v>0</v>
      </c>
    </row>
    <row r="15" spans="1:20" s="21" customFormat="1" ht="24.95" customHeight="1" x14ac:dyDescent="0.2">
      <c r="A15" s="32"/>
      <c r="B15" s="33" t="s">
        <v>49</v>
      </c>
      <c r="C15" s="83">
        <f>+C14*$R$15</f>
        <v>0</v>
      </c>
      <c r="D15" s="84">
        <f t="shared" ref="C15:N15" si="5">+D14*$R$15</f>
        <v>0</v>
      </c>
      <c r="E15" s="84">
        <f t="shared" si="5"/>
        <v>0</v>
      </c>
      <c r="F15" s="84">
        <f t="shared" si="5"/>
        <v>0</v>
      </c>
      <c r="G15" s="84">
        <f t="shared" si="5"/>
        <v>0</v>
      </c>
      <c r="H15" s="84">
        <f t="shared" si="5"/>
        <v>0</v>
      </c>
      <c r="I15" s="84">
        <f t="shared" si="5"/>
        <v>0</v>
      </c>
      <c r="J15" s="84">
        <f t="shared" si="5"/>
        <v>0</v>
      </c>
      <c r="K15" s="84">
        <f t="shared" si="5"/>
        <v>0</v>
      </c>
      <c r="L15" s="84">
        <f t="shared" si="5"/>
        <v>0</v>
      </c>
      <c r="M15" s="84">
        <f t="shared" si="5"/>
        <v>0</v>
      </c>
      <c r="N15" s="85">
        <f t="shared" si="5"/>
        <v>0</v>
      </c>
      <c r="O15" s="103">
        <f>SUM(O6:O12)</f>
        <v>0</v>
      </c>
      <c r="P15" s="103">
        <f>SUM(P6:P12)</f>
        <v>0</v>
      </c>
      <c r="Q15" s="103">
        <f>SUM(Q6:Q12)</f>
        <v>0</v>
      </c>
      <c r="R15" s="84">
        <f>SUM(R6:R12)</f>
        <v>0</v>
      </c>
      <c r="S15" s="110" t="e">
        <f>+R15/$R$15</f>
        <v>#DIV/0!</v>
      </c>
      <c r="T15" s="20"/>
    </row>
    <row r="16" spans="1:20" s="21" customFormat="1" ht="24.95" customHeight="1" x14ac:dyDescent="0.2">
      <c r="A16" s="22"/>
      <c r="B16" s="2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40"/>
      <c r="P16" s="40"/>
      <c r="Q16" s="40"/>
      <c r="R16" s="80"/>
      <c r="S16" s="81"/>
      <c r="T16" s="20"/>
    </row>
    <row r="17" spans="1:20" ht="24.95" customHeight="1" x14ac:dyDescent="0.2">
      <c r="B17" s="6" t="s">
        <v>37</v>
      </c>
      <c r="C17" s="3" t="e">
        <f>C21/$N$23</f>
        <v>#DIV/0!</v>
      </c>
      <c r="D17" s="3" t="e">
        <f t="shared" ref="D17:N17" si="6">D21/$N$23</f>
        <v>#DIV/0!</v>
      </c>
      <c r="E17" s="3" t="e">
        <f t="shared" si="6"/>
        <v>#DIV/0!</v>
      </c>
      <c r="F17" s="3" t="e">
        <f t="shared" si="6"/>
        <v>#DIV/0!</v>
      </c>
      <c r="G17" s="3" t="e">
        <f t="shared" si="6"/>
        <v>#DIV/0!</v>
      </c>
      <c r="H17" s="3" t="e">
        <f t="shared" si="6"/>
        <v>#DIV/0!</v>
      </c>
      <c r="I17" s="3" t="e">
        <f t="shared" si="6"/>
        <v>#DIV/0!</v>
      </c>
      <c r="J17" s="3" t="e">
        <f t="shared" si="6"/>
        <v>#DIV/0!</v>
      </c>
      <c r="K17" s="3" t="e">
        <f t="shared" si="6"/>
        <v>#DIV/0!</v>
      </c>
      <c r="L17" s="3" t="e">
        <f t="shared" si="6"/>
        <v>#DIV/0!</v>
      </c>
      <c r="M17" s="3" t="e">
        <f t="shared" si="6"/>
        <v>#DIV/0!</v>
      </c>
      <c r="N17" s="3" t="e">
        <f t="shared" si="6"/>
        <v>#DIV/0!</v>
      </c>
      <c r="O17" s="2"/>
      <c r="P17" s="2"/>
      <c r="Q17" s="2"/>
      <c r="R17" s="2"/>
    </row>
    <row r="18" spans="1:20" s="8" customFormat="1" ht="15" customHeight="1" x14ac:dyDescent="0.2">
      <c r="B18" s="9" t="s">
        <v>39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10"/>
      <c r="P18" s="10"/>
      <c r="Q18" s="10"/>
      <c r="R18" s="10"/>
    </row>
    <row r="19" spans="1:20" s="8" customFormat="1" ht="15" customHeight="1" x14ac:dyDescent="0.2">
      <c r="B19" s="9" t="s">
        <v>35</v>
      </c>
      <c r="C19" s="86">
        <f>ROUND(0.0883*C18,2)</f>
        <v>0</v>
      </c>
      <c r="D19" s="86">
        <f t="shared" ref="D19:N19" si="7">ROUND(0.0883*D18,2)</f>
        <v>0</v>
      </c>
      <c r="E19" s="86">
        <f t="shared" si="7"/>
        <v>0</v>
      </c>
      <c r="F19" s="86">
        <f t="shared" si="7"/>
        <v>0</v>
      </c>
      <c r="G19" s="86">
        <f t="shared" si="7"/>
        <v>0</v>
      </c>
      <c r="H19" s="86">
        <f t="shared" si="7"/>
        <v>0</v>
      </c>
      <c r="I19" s="86">
        <f t="shared" si="7"/>
        <v>0</v>
      </c>
      <c r="J19" s="86">
        <f t="shared" si="7"/>
        <v>0</v>
      </c>
      <c r="K19" s="86">
        <f t="shared" si="7"/>
        <v>0</v>
      </c>
      <c r="L19" s="86">
        <f t="shared" si="7"/>
        <v>0</v>
      </c>
      <c r="M19" s="86">
        <f t="shared" si="7"/>
        <v>0</v>
      </c>
      <c r="N19" s="86">
        <f t="shared" si="7"/>
        <v>0</v>
      </c>
      <c r="O19" s="12">
        <v>8.8300000000000003E-2</v>
      </c>
      <c r="P19" s="12">
        <v>8.8300000000000003E-2</v>
      </c>
      <c r="Q19" s="12">
        <v>8.8300000000000003E-2</v>
      </c>
      <c r="R19" s="12">
        <v>8.8300000000000003E-2</v>
      </c>
    </row>
    <row r="20" spans="1:20" s="8" customFormat="1" ht="15" customHeight="1" x14ac:dyDescent="0.2">
      <c r="B20" s="9" t="s">
        <v>38</v>
      </c>
      <c r="C20" s="86">
        <f t="shared" ref="C20:N20" si="8">0.25*(C18+C19)</f>
        <v>0</v>
      </c>
      <c r="D20" s="86">
        <f t="shared" si="8"/>
        <v>0</v>
      </c>
      <c r="E20" s="86">
        <f t="shared" si="8"/>
        <v>0</v>
      </c>
      <c r="F20" s="86">
        <f t="shared" si="8"/>
        <v>0</v>
      </c>
      <c r="G20" s="86">
        <f t="shared" si="8"/>
        <v>0</v>
      </c>
      <c r="H20" s="86">
        <f t="shared" si="8"/>
        <v>0</v>
      </c>
      <c r="I20" s="86">
        <f t="shared" si="8"/>
        <v>0</v>
      </c>
      <c r="J20" s="86">
        <f t="shared" si="8"/>
        <v>0</v>
      </c>
      <c r="K20" s="86">
        <f t="shared" si="8"/>
        <v>0</v>
      </c>
      <c r="L20" s="86">
        <f t="shared" si="8"/>
        <v>0</v>
      </c>
      <c r="M20" s="86">
        <f t="shared" si="8"/>
        <v>0</v>
      </c>
      <c r="N20" s="86">
        <f t="shared" si="8"/>
        <v>0</v>
      </c>
      <c r="O20" s="12">
        <v>0.25</v>
      </c>
      <c r="P20" s="12">
        <v>0.25</v>
      </c>
      <c r="Q20" s="12">
        <v>0.25</v>
      </c>
      <c r="R20" s="12">
        <v>0.25</v>
      </c>
    </row>
    <row r="21" spans="1:20" ht="24.95" customHeight="1" x14ac:dyDescent="0.2">
      <c r="B21" s="13" t="s">
        <v>40</v>
      </c>
      <c r="C21" s="87">
        <f t="shared" ref="C21:N21" si="9">C18+C19+C20</f>
        <v>0</v>
      </c>
      <c r="D21" s="87">
        <f t="shared" si="9"/>
        <v>0</v>
      </c>
      <c r="E21" s="87">
        <f t="shared" si="9"/>
        <v>0</v>
      </c>
      <c r="F21" s="87">
        <f t="shared" si="9"/>
        <v>0</v>
      </c>
      <c r="G21" s="87">
        <f t="shared" si="9"/>
        <v>0</v>
      </c>
      <c r="H21" s="87">
        <f t="shared" si="9"/>
        <v>0</v>
      </c>
      <c r="I21" s="87">
        <f t="shared" si="9"/>
        <v>0</v>
      </c>
      <c r="J21" s="87">
        <f t="shared" si="9"/>
        <v>0</v>
      </c>
      <c r="K21" s="87">
        <f t="shared" si="9"/>
        <v>0</v>
      </c>
      <c r="L21" s="87">
        <f t="shared" si="9"/>
        <v>0</v>
      </c>
      <c r="M21" s="87">
        <f t="shared" si="9"/>
        <v>0</v>
      </c>
      <c r="N21" s="87">
        <f t="shared" si="9"/>
        <v>0</v>
      </c>
      <c r="O21" s="14"/>
      <c r="P21" s="14"/>
      <c r="Q21" s="14"/>
      <c r="R21" s="14"/>
      <c r="T21" s="4"/>
    </row>
    <row r="22" spans="1:20" ht="15" customHeight="1" x14ac:dyDescent="0.2">
      <c r="B22" s="7" t="s">
        <v>34</v>
      </c>
      <c r="C22" s="3" t="e">
        <f>C23/$N$23</f>
        <v>#DIV/0!</v>
      </c>
      <c r="D22" s="3" t="e">
        <f t="shared" ref="D22:N22" si="10">D23/$N$23</f>
        <v>#DIV/0!</v>
      </c>
      <c r="E22" s="3" t="e">
        <f t="shared" si="10"/>
        <v>#DIV/0!</v>
      </c>
      <c r="F22" s="3" t="e">
        <f t="shared" si="10"/>
        <v>#DIV/0!</v>
      </c>
      <c r="G22" s="3" t="e">
        <f t="shared" si="10"/>
        <v>#DIV/0!</v>
      </c>
      <c r="H22" s="3" t="e">
        <f t="shared" si="10"/>
        <v>#DIV/0!</v>
      </c>
      <c r="I22" s="3" t="e">
        <f t="shared" si="10"/>
        <v>#DIV/0!</v>
      </c>
      <c r="J22" s="3" t="e">
        <f t="shared" si="10"/>
        <v>#DIV/0!</v>
      </c>
      <c r="K22" s="3" t="e">
        <f t="shared" si="10"/>
        <v>#DIV/0!</v>
      </c>
      <c r="L22" s="3" t="e">
        <f t="shared" si="10"/>
        <v>#DIV/0!</v>
      </c>
      <c r="M22" s="3" t="e">
        <f t="shared" si="10"/>
        <v>#DIV/0!</v>
      </c>
      <c r="N22" s="3" t="e">
        <f t="shared" si="10"/>
        <v>#DIV/0!</v>
      </c>
      <c r="O22" s="2"/>
      <c r="P22" s="2"/>
      <c r="Q22" s="2"/>
      <c r="R22" s="2"/>
    </row>
    <row r="23" spans="1:20" ht="15" customHeight="1" x14ac:dyDescent="0.2">
      <c r="B23" s="16" t="s">
        <v>36</v>
      </c>
      <c r="C23" s="88">
        <f>C21</f>
        <v>0</v>
      </c>
      <c r="D23" s="88">
        <f>C23+D21</f>
        <v>0</v>
      </c>
      <c r="E23" s="88">
        <f t="shared" ref="E23:N23" si="11">D23+E21</f>
        <v>0</v>
      </c>
      <c r="F23" s="88">
        <f t="shared" si="11"/>
        <v>0</v>
      </c>
      <c r="G23" s="88">
        <f t="shared" si="11"/>
        <v>0</v>
      </c>
      <c r="H23" s="88">
        <f t="shared" si="11"/>
        <v>0</v>
      </c>
      <c r="I23" s="88">
        <f t="shared" si="11"/>
        <v>0</v>
      </c>
      <c r="J23" s="88">
        <f t="shared" si="11"/>
        <v>0</v>
      </c>
      <c r="K23" s="88">
        <f t="shared" si="11"/>
        <v>0</v>
      </c>
      <c r="L23" s="88">
        <f t="shared" si="11"/>
        <v>0</v>
      </c>
      <c r="M23" s="88">
        <f t="shared" si="11"/>
        <v>0</v>
      </c>
      <c r="N23" s="88">
        <f t="shared" si="11"/>
        <v>0</v>
      </c>
      <c r="O23" s="17"/>
      <c r="P23" s="17"/>
      <c r="Q23" s="17"/>
      <c r="R23" s="17"/>
    </row>
    <row r="24" spans="1:20" x14ac:dyDescent="0.2">
      <c r="A24" s="5"/>
      <c r="B24" s="5"/>
      <c r="C24" s="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5"/>
      <c r="P24" s="5"/>
      <c r="Q24" s="5"/>
      <c r="R24" s="5"/>
    </row>
  </sheetData>
  <mergeCells count="5">
    <mergeCell ref="C2:D2"/>
    <mergeCell ref="E2:F2"/>
    <mergeCell ref="C3:D3"/>
    <mergeCell ref="E3:F3"/>
    <mergeCell ref="G3:O3"/>
  </mergeCells>
  <printOptions horizontalCentered="1"/>
  <pageMargins left="0.19685039370078741" right="0.19685039370078741" top="0.98425196850393704" bottom="0.59055118110236227" header="0.39370078740157483" footer="0.31496062992125984"/>
  <pageSetup paperSize="8" scale="90" orientation="landscape" r:id="rId1"/>
  <headerFooter>
    <oddHeader>&amp;L &amp;CMinha Empresa
CNPJ:  &amp;R</oddHeader>
    <oddFooter>&amp;L &amp;C  -  -  / SP
 / igorvsantana@hotmail.com &amp;R</oddFooter>
  </headerFooter>
  <ignoredErrors>
    <ignoredError sqref="A6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Cronograma (2)</vt:lpstr>
      <vt:lpstr>Cronograma (3)</vt:lpstr>
      <vt:lpstr>'Cronograma (2)'!Area_de_impressao</vt:lpstr>
      <vt:lpstr>'Cronograma (3)'!Area_de_impressao</vt:lpstr>
      <vt:lpstr>'Cronograma (2)'!Titulos_de_impressao</vt:lpstr>
      <vt:lpstr>'Cronograma (3)'!Titulos_de_impressao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Markus Vinicius Trevisan</cp:lastModifiedBy>
  <cp:revision>0</cp:revision>
  <cp:lastPrinted>2023-08-08T18:46:57Z</cp:lastPrinted>
  <dcterms:created xsi:type="dcterms:W3CDTF">2023-04-19T19:40:08Z</dcterms:created>
  <dcterms:modified xsi:type="dcterms:W3CDTF">2023-10-11T18:37:37Z</dcterms:modified>
</cp:coreProperties>
</file>