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licitacoes\LICITAÇÕES 2023\CONCORRÊNCIA\262.000003442023-51 - CONTRATAÇÃO DE EXECUÇÃO DE OBRAS RUÍNAS - PEIA\EDITAL\"/>
    </mc:Choice>
  </mc:AlternateContent>
  <xr:revisionPtr revIDLastSave="0" documentId="13_ncr:1_{95C60A34-B99A-4A05-B0EF-506D4F289E22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RESUMO" sheetId="16" r:id="rId1"/>
    <sheet name="PLANILHA" sheetId="1" r:id="rId2"/>
    <sheet name="CRONOGRAMA" sheetId="14" r:id="rId3"/>
    <sheet name="COMPOSIÇÕES " sheetId="17" r:id="rId4"/>
    <sheet name="COMPOSIÇÃO EMBARCAÇÃO" sheetId="10" r:id="rId5"/>
    <sheet name="BDI " sheetId="7" r:id="rId6"/>
    <sheet name="ADM" sheetId="9" r:id="rId7"/>
    <sheet name="LS" sheetId="8" r:id="rId8"/>
  </sheets>
  <externalReferences>
    <externalReference r:id="rId9"/>
    <externalReference r:id="rId10"/>
  </externalReferences>
  <definedNames>
    <definedName name="___OI152" localSheetId="3">#REF!</definedName>
    <definedName name="___OI152" localSheetId="7">#REF!</definedName>
    <definedName name="___OI152">#REF!</definedName>
    <definedName name="__OI152" localSheetId="7">#REF!</definedName>
    <definedName name="__OI152">#REF!</definedName>
    <definedName name="_OI152" localSheetId="7">#REF!</definedName>
    <definedName name="_OI152">#REF!</definedName>
    <definedName name="A">#REF!</definedName>
    <definedName name="ABC">#REF!</definedName>
    <definedName name="AIR">#REF!</definedName>
    <definedName name="_xlnm.Print_Area" localSheetId="6">ADM!$A$1:$L$18</definedName>
    <definedName name="_xlnm.Print_Area" localSheetId="4">'COMPOSIÇÃO EMBARCAÇÃO'!$A$1:$I$7</definedName>
    <definedName name="_xlnm.Print_Area" localSheetId="2">CRONOGRAMA!$A$1:$S$11</definedName>
    <definedName name="_xlnm.Print_Area" localSheetId="7">LS!$A$1:$G$41</definedName>
    <definedName name="_xlnm.Print_Area" localSheetId="1">PLANILHA!$A$1:$J$60</definedName>
    <definedName name="_xlnm.Database">[1]BOLETIM!$A$1:$F$2150</definedName>
    <definedName name="BILLING" localSheetId="7">#REF!</definedName>
    <definedName name="BILLING">#REF!</definedName>
    <definedName name="BOMPRINT" localSheetId="7">#REF!</definedName>
    <definedName name="BOMPRINT">#REF!</definedName>
    <definedName name="CalcReferencia" localSheetId="6">OFFSET(Lst.Top,#REF!,-1,1,1)</definedName>
    <definedName name="CalcReferencia" localSheetId="5">OFFSET(Lst.Top,#REF!,-1,1,1)</definedName>
    <definedName name="CalcReferencia" localSheetId="3">OFFSET(Lst.Top,#REF!,-1,1,1)</definedName>
    <definedName name="CalcReferencia" localSheetId="7">OFFSET(Lst.Top,#REF!,-1,1,1)</definedName>
    <definedName name="CalcReferencia">OFFSET(Lst.Top,#REF!,-1,1,1)</definedName>
    <definedName name="CalcReferencia1" localSheetId="6">OFFSET(Lst.Top1,#REF!,-1,1,1)</definedName>
    <definedName name="CalcReferencia1" localSheetId="5">OFFSET(Lst.Top1,#REF!,-1,1,1)</definedName>
    <definedName name="CalcReferencia1" localSheetId="3">OFFSET(Lst.Top1,#REF!,-1,1,1)</definedName>
    <definedName name="CalcReferencia1" localSheetId="7">OFFSET(Lst.Top1,#REF!,-1,1,1)</definedName>
    <definedName name="CalcReferencia1">OFFSET(Lst.Top1,#REF!,-1,1,1)</definedName>
    <definedName name="CHECKBOM" localSheetId="7">#REF!</definedName>
    <definedName name="CHECKBOM">#REF!</definedName>
    <definedName name="_xlnm.Criteria">#REF!</definedName>
    <definedName name="CRONOGRMA">#N/A</definedName>
    <definedName name="DELETE1">#REF!</definedName>
    <definedName name="DELETE2">#REF!</definedName>
    <definedName name="DESCONTO">#REF!</definedName>
    <definedName name="DÓLAR">#REF!</definedName>
    <definedName name="E">#REF!</definedName>
    <definedName name="ENC.FINANC">#REF!</definedName>
    <definedName name="EWO">#REF!</definedName>
    <definedName name="FIND.PART">#REF!</definedName>
    <definedName name="FINSOCIAL">#REF!</definedName>
    <definedName name="FRETE">#REF!</definedName>
    <definedName name="IBO">#REF!</definedName>
    <definedName name="INFO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 localSheetId="6">OFFSET(Lst.Top1,#REF!,-1,1,1)</definedName>
    <definedName name="nylon" localSheetId="5">OFFSET(Lst.Top1,#REF!,-1,1,1)</definedName>
    <definedName name="nylon" localSheetId="3">OFFSET(Lst.Top1,#REF!,-1,1,1)</definedName>
    <definedName name="nylon" localSheetId="7">OFFSET(Lst.Top1,#REF!,-1,1,1)</definedName>
    <definedName name="nylon">OFFSET(Lst.Top1,#REF!,-1,1,1)</definedName>
    <definedName name="Ó" localSheetId="7">#REF!</definedName>
    <definedName name="Ó">#REF!</definedName>
    <definedName name="OI">#REF!</definedName>
    <definedName name="Optico" localSheetId="6">OFFSET(Lst.Top,#REF!,-1,1,1)</definedName>
    <definedName name="Optico" localSheetId="5">OFFSET(Lst.Top,#REF!,-1,1,1)</definedName>
    <definedName name="Optico" localSheetId="3">OFFSET(Lst.Top,#REF!,-1,1,1)</definedName>
    <definedName name="Optico" localSheetId="7">OFFSET(Lst.Top,#REF!,-1,1,1)</definedName>
    <definedName name="Optico">OFFSET(Lst.Top,#REF!,-1,1,1)</definedName>
    <definedName name="paste1" localSheetId="7">#REF!</definedName>
    <definedName name="paste1">#REF!</definedName>
    <definedName name="paste2">#REF!</definedName>
    <definedName name="paste3">#REF!</definedName>
    <definedName name="paste4">#REF!</definedName>
    <definedName name="PIS">#REF!</definedName>
    <definedName name="RecalcMatriz">#REF!</definedName>
    <definedName name="RMA">#REF!</definedName>
    <definedName name="S">#REF!</definedName>
    <definedName name="Serviços">#REF!</definedName>
    <definedName name="sound1">#REF!</definedName>
    <definedName name="sound2">#REF!</definedName>
    <definedName name="start">#REF!</definedName>
    <definedName name="T">#REF!</definedName>
    <definedName name="TABSERBO">#REF!</definedName>
    <definedName name="temp">#REF!</definedName>
    <definedName name="temp2">#REF!</definedName>
    <definedName name="_xlnm.Print_Titles" localSheetId="4">'COMPOSIÇÃO EMBARCAÇÃO'!$1:$2</definedName>
    <definedName name="_xlnm.Print_Titles" localSheetId="1">PLANILHA!$1:$2</definedName>
    <definedName name="X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I55" i="1" l="1"/>
  <c r="I52" i="1"/>
  <c r="I51" i="1"/>
  <c r="I48" i="1"/>
  <c r="I47" i="1"/>
  <c r="I46" i="1"/>
  <c r="I45" i="1"/>
  <c r="I41" i="1"/>
  <c r="I40" i="1"/>
  <c r="I37" i="1"/>
  <c r="I34" i="1"/>
  <c r="I33" i="1"/>
  <c r="I32" i="1"/>
  <c r="I31" i="1"/>
  <c r="I28" i="1"/>
  <c r="I27" i="1"/>
  <c r="I26" i="1"/>
  <c r="I25" i="1"/>
  <c r="I24" i="1"/>
  <c r="I23" i="1"/>
  <c r="I22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J5" i="1"/>
  <c r="I5" i="1"/>
  <c r="J55" i="1" l="1"/>
  <c r="J37" i="1"/>
  <c r="F42" i="17" l="1"/>
  <c r="F41" i="17"/>
  <c r="E39" i="17" s="1"/>
  <c r="D40" i="17"/>
  <c r="F40" i="17" s="1"/>
  <c r="C40" i="17"/>
  <c r="B40" i="17"/>
  <c r="F37" i="17"/>
  <c r="F36" i="17"/>
  <c r="E29" i="17" s="1"/>
  <c r="D35" i="17"/>
  <c r="F35" i="17" s="1"/>
  <c r="C35" i="17"/>
  <c r="B35" i="17"/>
  <c r="D34" i="17"/>
  <c r="F34" i="17" s="1"/>
  <c r="C34" i="17"/>
  <c r="B34" i="17"/>
  <c r="D33" i="17"/>
  <c r="F33" i="17" s="1"/>
  <c r="C33" i="17"/>
  <c r="B33" i="17"/>
  <c r="D32" i="17"/>
  <c r="F32" i="17" s="1"/>
  <c r="C32" i="17"/>
  <c r="B32" i="17"/>
  <c r="D31" i="17"/>
  <c r="F31" i="17" s="1"/>
  <c r="D29" i="17" s="1"/>
  <c r="C31" i="17"/>
  <c r="B31" i="17"/>
  <c r="F30" i="17"/>
  <c r="C30" i="17"/>
  <c r="B30" i="17"/>
  <c r="F27" i="17"/>
  <c r="F26" i="17"/>
  <c r="D25" i="17"/>
  <c r="F25" i="17" s="1"/>
  <c r="D23" i="17" s="1"/>
  <c r="C25" i="17"/>
  <c r="B25" i="17"/>
  <c r="F24" i="17"/>
  <c r="C24" i="17"/>
  <c r="B24" i="17"/>
  <c r="F21" i="17"/>
  <c r="F20" i="17"/>
  <c r="D19" i="17"/>
  <c r="F19" i="17" s="1"/>
  <c r="C19" i="17"/>
  <c r="B19" i="17"/>
  <c r="F18" i="17"/>
  <c r="F15" i="17"/>
  <c r="E11" i="17" s="1"/>
  <c r="F14" i="17"/>
  <c r="D13" i="17"/>
  <c r="D11" i="17" s="1"/>
  <c r="C13" i="17"/>
  <c r="B13" i="17"/>
  <c r="F12" i="17"/>
  <c r="C12" i="17"/>
  <c r="B12" i="17"/>
  <c r="F9" i="17"/>
  <c r="F8" i="17"/>
  <c r="E6" i="17" s="1"/>
  <c r="F7" i="17"/>
  <c r="C7" i="17"/>
  <c r="B7" i="17"/>
  <c r="D6" i="17"/>
  <c r="E3" i="17"/>
  <c r="F3" i="17" s="1"/>
  <c r="F2" i="17" s="1"/>
  <c r="H2" i="17" s="1"/>
  <c r="E2" i="17"/>
  <c r="D2" i="17"/>
  <c r="B5" i="16"/>
  <c r="B6" i="16"/>
  <c r="B7" i="16"/>
  <c r="B4" i="16"/>
  <c r="B4" i="14"/>
  <c r="B5" i="14"/>
  <c r="B6" i="14"/>
  <c r="B3" i="14"/>
  <c r="P2" i="14"/>
  <c r="Q2" i="14"/>
  <c r="E17" i="17" l="1"/>
  <c r="D17" i="17"/>
  <c r="F13" i="17"/>
  <c r="F11" i="17" s="1"/>
  <c r="H11" i="17" s="1"/>
  <c r="F23" i="17"/>
  <c r="H23" i="17" s="1"/>
  <c r="F6" i="17"/>
  <c r="H6" i="17" s="1"/>
  <c r="E23" i="17"/>
  <c r="F39" i="17"/>
  <c r="H39" i="17" s="1"/>
  <c r="D39" i="17"/>
  <c r="F29" i="17"/>
  <c r="H29" i="17" s="1"/>
  <c r="F17" i="17"/>
  <c r="H17" i="17" s="1"/>
  <c r="J45" i="1"/>
  <c r="J46" i="1"/>
  <c r="J47" i="1"/>
  <c r="J48" i="1"/>
  <c r="J44" i="1" l="1"/>
  <c r="E7" i="10" l="1"/>
  <c r="I7" i="10" s="1"/>
  <c r="E5" i="10"/>
  <c r="I5" i="10" s="1"/>
  <c r="E6" i="10"/>
  <c r="E4" i="10"/>
  <c r="I4" i="10" s="1"/>
  <c r="I6" i="10"/>
  <c r="I3" i="10" l="1"/>
  <c r="L4" i="10" l="1"/>
  <c r="J36" i="1"/>
  <c r="J40" i="1" l="1"/>
  <c r="J41" i="1"/>
  <c r="J39" i="1" l="1"/>
  <c r="G40" i="8"/>
  <c r="F40" i="8"/>
  <c r="E40" i="8"/>
  <c r="D40" i="8"/>
  <c r="G36" i="8"/>
  <c r="F36" i="8"/>
  <c r="E36" i="8"/>
  <c r="D36" i="8"/>
  <c r="G29" i="8"/>
  <c r="F29" i="8"/>
  <c r="E29" i="8"/>
  <c r="D29" i="8"/>
  <c r="G17" i="8"/>
  <c r="F17" i="8"/>
  <c r="E17" i="8"/>
  <c r="D17" i="8"/>
  <c r="C27" i="7"/>
  <c r="C23" i="7"/>
  <c r="C29" i="7" s="1"/>
  <c r="L5" i="9" s="1"/>
  <c r="C16" i="7"/>
  <c r="C9" i="7"/>
  <c r="E41" i="8" l="1"/>
  <c r="F41" i="8"/>
  <c r="D41" i="8"/>
  <c r="G41" i="8"/>
  <c r="J51" i="1" l="1"/>
  <c r="J52" i="1"/>
  <c r="J31" i="1"/>
  <c r="J34" i="1"/>
  <c r="J33" i="1"/>
  <c r="J32" i="1"/>
  <c r="J24" i="1"/>
  <c r="J25" i="1"/>
  <c r="J26" i="1"/>
  <c r="J27" i="1"/>
  <c r="J28" i="1"/>
  <c r="J23" i="1"/>
  <c r="J22" i="1"/>
  <c r="J21" i="1" l="1"/>
  <c r="J30" i="1"/>
  <c r="J50" i="1"/>
  <c r="J20" i="1" l="1"/>
  <c r="C5" i="16" s="1"/>
  <c r="D5" i="16" s="1"/>
  <c r="E5" i="16" s="1"/>
  <c r="F5" i="16" s="1"/>
  <c r="J43" i="1"/>
  <c r="C6" i="16" s="1"/>
  <c r="D6" i="16" s="1"/>
  <c r="E6" i="16" s="1"/>
  <c r="F6" i="16" s="1"/>
  <c r="J3" i="1"/>
  <c r="C4" i="16" s="1"/>
  <c r="O4" i="14" l="1"/>
  <c r="D4" i="14" s="1"/>
  <c r="D4" i="16"/>
  <c r="O3" i="14"/>
  <c r="O5" i="14"/>
  <c r="J54" i="1"/>
  <c r="C7" i="16" s="1"/>
  <c r="D7" i="16" s="1"/>
  <c r="E7" i="16" s="1"/>
  <c r="F7" i="16" s="1"/>
  <c r="L3" i="14" l="1"/>
  <c r="F3" i="14"/>
  <c r="K3" i="14"/>
  <c r="E3" i="14"/>
  <c r="J3" i="14"/>
  <c r="D3" i="14"/>
  <c r="D7" i="14" s="1"/>
  <c r="G3" i="14"/>
  <c r="I3" i="14"/>
  <c r="C3" i="14"/>
  <c r="N3" i="14"/>
  <c r="H3" i="14"/>
  <c r="M3" i="14"/>
  <c r="P4" i="14"/>
  <c r="Q4" i="14" s="1"/>
  <c r="R4" i="14"/>
  <c r="E4" i="16"/>
  <c r="D8" i="16"/>
  <c r="C8" i="16"/>
  <c r="J57" i="1"/>
  <c r="O6" i="14"/>
  <c r="O7" i="14" s="1"/>
  <c r="P3" i="14"/>
  <c r="Q3" i="14" s="1"/>
  <c r="C7" i="14"/>
  <c r="E5" i="14"/>
  <c r="F5" i="14" s="1"/>
  <c r="G5" i="14" s="1"/>
  <c r="P5" i="14"/>
  <c r="Q5" i="14" s="1"/>
  <c r="E4" i="14"/>
  <c r="R3" i="14" l="1"/>
  <c r="E8" i="16"/>
  <c r="F4" i="16"/>
  <c r="F8" i="16" s="1"/>
  <c r="D8" i="14"/>
  <c r="D9" i="14" s="1"/>
  <c r="H5" i="14"/>
  <c r="P7" i="14"/>
  <c r="Q7" i="14" s="1"/>
  <c r="O8" i="14"/>
  <c r="O9" i="14" s="1"/>
  <c r="N6" i="14"/>
  <c r="N7" i="14" s="1"/>
  <c r="P6" i="14"/>
  <c r="Q6" i="14" s="1"/>
  <c r="C8" i="14"/>
  <c r="C9" i="14" s="1"/>
  <c r="F4" i="14"/>
  <c r="E7" i="14"/>
  <c r="R5" i="14"/>
  <c r="J58" i="1"/>
  <c r="J59" i="1" s="1"/>
  <c r="J60" i="1" s="1"/>
  <c r="R6" i="14" l="1"/>
  <c r="D10" i="14"/>
  <c r="R7" i="14"/>
  <c r="S3" i="14" s="1"/>
  <c r="G4" i="14"/>
  <c r="F7" i="14"/>
  <c r="O10" i="14"/>
  <c r="O11" i="14" s="1"/>
  <c r="N8" i="14"/>
  <c r="N9" i="14" s="1"/>
  <c r="C10" i="14"/>
  <c r="E8" i="14"/>
  <c r="E9" i="14" s="1"/>
  <c r="K11" i="9"/>
  <c r="S4" i="14" l="1"/>
  <c r="K12" i="9"/>
  <c r="S5" i="14"/>
  <c r="S6" i="14"/>
  <c r="E10" i="14"/>
  <c r="E11" i="14" s="1"/>
  <c r="C11" i="14"/>
  <c r="H4" i="14"/>
  <c r="G7" i="14"/>
  <c r="D11" i="14"/>
  <c r="F8" i="14"/>
  <c r="F9" i="14" s="1"/>
  <c r="N10" i="14"/>
  <c r="N11" i="14" s="1"/>
  <c r="S7" i="14" l="1"/>
  <c r="F10" i="14"/>
  <c r="F11" i="14" s="1"/>
  <c r="G8" i="14"/>
  <c r="G9" i="14" s="1"/>
  <c r="I4" i="14"/>
  <c r="H7" i="14"/>
  <c r="G10" i="14" l="1"/>
  <c r="G11" i="14" s="1"/>
  <c r="J4" i="14"/>
  <c r="I7" i="14"/>
  <c r="H8" i="14"/>
  <c r="H9" i="14" s="1"/>
  <c r="H10" i="14" l="1"/>
  <c r="H11" i="14" s="1"/>
  <c r="I8" i="14"/>
  <c r="I9" i="14" s="1"/>
  <c r="K4" i="14"/>
  <c r="J7" i="14"/>
  <c r="I10" i="14" l="1"/>
  <c r="I11" i="14" s="1"/>
  <c r="J8" i="14"/>
  <c r="J9" i="14" s="1"/>
  <c r="L4" i="14"/>
  <c r="K7" i="14"/>
  <c r="K8" i="14" l="1"/>
  <c r="K9" i="14" s="1"/>
  <c r="L7" i="14"/>
  <c r="M4" i="14"/>
  <c r="M7" i="14" s="1"/>
  <c r="J10" i="14"/>
  <c r="J11" i="14" s="1"/>
  <c r="K10" i="14" l="1"/>
  <c r="K11" i="14" s="1"/>
  <c r="M8" i="14"/>
  <c r="M9" i="14" s="1"/>
  <c r="L8" i="14"/>
  <c r="L9" i="14" s="1"/>
  <c r="M10" i="14" l="1"/>
  <c r="M11" i="14" s="1"/>
  <c r="L10" i="14"/>
  <c r="L11" i="14" s="1"/>
</calcChain>
</file>

<file path=xl/sharedStrings.xml><?xml version="1.0" encoding="utf-8"?>
<sst xmlns="http://schemas.openxmlformats.org/spreadsheetml/2006/main" count="512" uniqueCount="368">
  <si>
    <t>Item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</si>
  <si>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</si>
  <si>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</si>
  <si>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</si>
  <si>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</si>
  <si>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</si>
  <si>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</si>
  <si>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</si>
  <si>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</si>
  <si>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Serviços inciais</t>
  </si>
  <si>
    <t>1.1</t>
  </si>
  <si>
    <t>2.1</t>
  </si>
  <si>
    <t>2.2</t>
  </si>
  <si>
    <t>2.3</t>
  </si>
  <si>
    <t>2.4</t>
  </si>
  <si>
    <t>3.1</t>
  </si>
  <si>
    <t>3.2</t>
  </si>
  <si>
    <t>5.1</t>
  </si>
  <si>
    <t>TOTAL</t>
  </si>
  <si>
    <t>TOTAL +BDI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</si>
  <si>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</si>
  <si>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Administração Central</t>
  </si>
  <si>
    <t>%</t>
  </si>
  <si>
    <t>Nº código</t>
  </si>
  <si>
    <t>Base orçamentária</t>
  </si>
  <si>
    <t>1.1.1</t>
  </si>
  <si>
    <t>M2</t>
  </si>
  <si>
    <t>1.1.2</t>
  </si>
  <si>
    <t>COMP-01</t>
  </si>
  <si>
    <t>LOCAÇÃO MESAL ANDAIME FACHADEIRO COM MONTAGEM E DESMONTAGEM INCLUSO TELA DE PROTEÇÃO</t>
  </si>
  <si>
    <t>1.1.3</t>
  </si>
  <si>
    <t>1.1.4</t>
  </si>
  <si>
    <t>1.1.5</t>
  </si>
  <si>
    <t>1.1.6</t>
  </si>
  <si>
    <t>1.1.7</t>
  </si>
  <si>
    <t>1.1.8</t>
  </si>
  <si>
    <t>1.1.9</t>
  </si>
  <si>
    <t>Barracão para escritório de obra porte médio s=43,56m2 com materiais novos</t>
  </si>
  <si>
    <t>1.1.10</t>
  </si>
  <si>
    <t>Barracão aberto para refeitório de obra (capacidade 24 refeições simultâneas)-s=61,60m2 com materiais novos</t>
  </si>
  <si>
    <t>1.1.11</t>
  </si>
  <si>
    <t>Barracão fechado porte pequeno para depósito de cimento e almoxarifado (s=38,72 m2) com materiais novos</t>
  </si>
  <si>
    <t>1.1.12</t>
  </si>
  <si>
    <t>1.1.13</t>
  </si>
  <si>
    <t>M</t>
  </si>
  <si>
    <t>Restauro</t>
  </si>
  <si>
    <t>Paredes e painéis</t>
  </si>
  <si>
    <t>Pisos e lajes</t>
  </si>
  <si>
    <t>Grades</t>
  </si>
  <si>
    <t>Piso - Nivelamento e recuperação</t>
  </si>
  <si>
    <t>Mobilização e canteiro de obra</t>
  </si>
  <si>
    <t>Contenções e coberturas</t>
  </si>
  <si>
    <t>Coberturas</t>
  </si>
  <si>
    <t>Contenções</t>
  </si>
  <si>
    <t>Limpeza geral final</t>
  </si>
  <si>
    <t>BDI (22,26%)</t>
  </si>
  <si>
    <t>2.1.1</t>
  </si>
  <si>
    <t>2.1.2</t>
  </si>
  <si>
    <t>2.1.3</t>
  </si>
  <si>
    <t>2.1.4</t>
  </si>
  <si>
    <t>2.1.5</t>
  </si>
  <si>
    <t>2.1.6</t>
  </si>
  <si>
    <t>2.1.7</t>
  </si>
  <si>
    <t>COMP-03</t>
  </si>
  <si>
    <t>RESTAURO - APLICAÇÃO DE RESINA VEGETAL</t>
  </si>
  <si>
    <t>COMP-04</t>
  </si>
  <si>
    <t>RESTAURO - APLICAÇÃO DE CARBOXIMETILCELULOSE - CMC</t>
  </si>
  <si>
    <t>COMP-05</t>
  </si>
  <si>
    <t>RESTAURO - APLICAÇÃO DE COLA PELE DE COELHO</t>
  </si>
  <si>
    <t>COMP-06</t>
  </si>
  <si>
    <t>RESTAURO - APLICAÇÃO DE ELEMENTOS FIXANTES</t>
  </si>
  <si>
    <t>2.2.1</t>
  </si>
  <si>
    <t>2.2.2</t>
  </si>
  <si>
    <t>2.2.3</t>
  </si>
  <si>
    <t>2.2.4</t>
  </si>
  <si>
    <t>2.3.1</t>
  </si>
  <si>
    <t>COMP-02</t>
  </si>
  <si>
    <t>RESTAURO - APLICAÇÃO DE FOSFATANTE EM FERRAGEM</t>
  </si>
  <si>
    <t>2.4.1</t>
  </si>
  <si>
    <t>M²</t>
  </si>
  <si>
    <t>3.1.1</t>
  </si>
  <si>
    <t>3.1.2</t>
  </si>
  <si>
    <t>3.1.3</t>
  </si>
  <si>
    <t>3.1.4</t>
  </si>
  <si>
    <t>3.2.1</t>
  </si>
  <si>
    <t>3.2.2</t>
  </si>
  <si>
    <t>COTAÇÃO-10</t>
  </si>
  <si>
    <t xml:space="preserve">UN </t>
  </si>
  <si>
    <t>COMP-07</t>
  </si>
  <si>
    <t>INSTALAÇÃO DE FITA DE LED</t>
  </si>
  <si>
    <t>KG</t>
  </si>
  <si>
    <t>Placa de obra em chapa aço galvanizado, instalada - Rev 02_01/2022</t>
  </si>
  <si>
    <t>ADMINISTRAÇÃO LOCAL (8,87%)</t>
  </si>
  <si>
    <t>SINAPI</t>
  </si>
  <si>
    <t>Aplicação de adesivo estrutural base resina epoxi, fluido, Sikadur 32 (consumo=1,67 kg/m² p/ 1mm de esp), Sika ou similar, aplicação:ancoragem de cabos,colagem elementos pre-moldados,fixação de chumbadores,juntas de concretagem(frias), etc.</t>
  </si>
  <si>
    <t>CÓDIGO</t>
  </si>
  <si>
    <t>DESCRIÇÃO</t>
  </si>
  <si>
    <t>UNIDADE</t>
  </si>
  <si>
    <t>UNIT MAT</t>
  </si>
  <si>
    <t>UNIT MO</t>
  </si>
  <si>
    <t>SUBTOTAL</t>
  </si>
  <si>
    <t>QTD</t>
  </si>
  <si>
    <t>M² X MÊS</t>
  </si>
  <si>
    <t>04740/ORESE</t>
  </si>
  <si>
    <t xml:space="preserve">ANDAIME METÁLICO FACHADEIRO - LOCAÇÃO MENSAL , MONTAGEM E DESMONTAGEM </t>
  </si>
  <si>
    <t>97062/SINAPI</t>
  </si>
  <si>
    <t>COLOCAÇÃO DE TELA EM ANDAIME FACHADEIRO. AF_11/2017</t>
  </si>
  <si>
    <t>COTAÇÃO-1</t>
  </si>
  <si>
    <t>00068/ORSE</t>
  </si>
  <si>
    <t>SERVENTE DE OBRAS</t>
  </si>
  <si>
    <t>H</t>
  </si>
  <si>
    <t>10549/ORSE</t>
  </si>
  <si>
    <t>ENCARGOS COMPLEMENTARES - SERVENTE</t>
  </si>
  <si>
    <t>COTAÇÃO-2</t>
  </si>
  <si>
    <t>COTAÇÃO-3</t>
  </si>
  <si>
    <t>03073/ORSE</t>
  </si>
  <si>
    <t>AUXILIAR DE RESTAURADOR</t>
  </si>
  <si>
    <t>10588/ORSE</t>
  </si>
  <si>
    <t>ENCARGOS COMPLEMENTARES - AUXILIAR DE RESTAURAÇÃO</t>
  </si>
  <si>
    <t>03106/ORSE</t>
  </si>
  <si>
    <t>AGLUTINANTE/ADESIVO CMC CARBOXY METHIL CELULOSE (P/RESTAURO)</t>
  </si>
  <si>
    <t>COTAÇÃO-4</t>
  </si>
  <si>
    <t>COTAÇÃO-5</t>
  </si>
  <si>
    <t>COTAÇÃO-6</t>
  </si>
  <si>
    <t>COTAÇÃO-7</t>
  </si>
  <si>
    <t>COTAÇÃO-8</t>
  </si>
  <si>
    <t>COTAÇÃO-9</t>
  </si>
  <si>
    <t>COTAÇÃO-21</t>
  </si>
  <si>
    <t>88247/SINAPI</t>
  </si>
  <si>
    <t>AUXILIAR DE ELETRICISTA COM ENCARGOS COMPLEMENTARES</t>
  </si>
  <si>
    <t>88264/SINAPI</t>
  </si>
  <si>
    <t>ELETRICISTA COM ENCARGOS COMPLEMENTARES</t>
  </si>
  <si>
    <t>Kg</t>
  </si>
  <si>
    <t>DATA:</t>
  </si>
  <si>
    <t xml:space="preserve">SUBTOTAL COM ADMINISTRAÇÃO/ SEM BDI: </t>
  </si>
  <si>
    <t>TÉCNICO RESPONSÁVEL:</t>
  </si>
  <si>
    <t>PLANILHA DE COMPOSIÇÃO DO PERCENTUAL DE BONIFICAÇÃO E DESPESAS INDIRETAS - BDI</t>
  </si>
  <si>
    <t>ITEM</t>
  </si>
  <si>
    <t>DISCRIMINAÇÃO</t>
  </si>
  <si>
    <t>GRUPO A</t>
  </si>
  <si>
    <t>DESPESAS INDIRETAS</t>
  </si>
  <si>
    <t>A-1</t>
  </si>
  <si>
    <t>Total grupo A</t>
  </si>
  <si>
    <t>GRUPO B</t>
  </si>
  <si>
    <t>TAXA DE RISCOS, SEGURO E GARANTIA</t>
  </si>
  <si>
    <t>B-1</t>
  </si>
  <si>
    <t>Despesas financeiras</t>
  </si>
  <si>
    <t>B-2</t>
  </si>
  <si>
    <t>Seguro</t>
  </si>
  <si>
    <t>B-3</t>
  </si>
  <si>
    <t>Riscos e imprevistos</t>
  </si>
  <si>
    <t>Garantia</t>
  </si>
  <si>
    <t>Total grupo B</t>
  </si>
  <si>
    <t>GRUPO C</t>
  </si>
  <si>
    <t>TRIBUTOS</t>
  </si>
  <si>
    <t>C-1</t>
  </si>
  <si>
    <t>PIS</t>
  </si>
  <si>
    <t>C-2</t>
  </si>
  <si>
    <t>COFINS</t>
  </si>
  <si>
    <t>C-3</t>
  </si>
  <si>
    <t>ISQN</t>
  </si>
  <si>
    <t>C-4</t>
  </si>
  <si>
    <t>CONTRIBUIÇÃO PREVIDENCIÁRIA</t>
  </si>
  <si>
    <t>Total grupo C</t>
  </si>
  <si>
    <t>GRUPO D</t>
  </si>
  <si>
    <t>LUCRO</t>
  </si>
  <si>
    <t>D-1</t>
  </si>
  <si>
    <t>Total grupo D</t>
  </si>
  <si>
    <t>TOTAL DO BDI ..............................................</t>
  </si>
  <si>
    <t>Fórmula</t>
  </si>
  <si>
    <t>BDI= [(1+AC+S+R+G)*(1+DF)*(1+L) / (1-I)] - 1</t>
  </si>
  <si>
    <r>
      <rPr>
        <b/>
        <sz val="11"/>
        <rFont val="Arial"/>
        <family val="2"/>
      </rPr>
      <t xml:space="preserve">OBS.: </t>
    </r>
    <r>
      <rPr>
        <sz val="11"/>
        <rFont val="Arial"/>
        <family val="2"/>
      </rPr>
      <t>Os pagamentos referentes ao IRPJ e CSLL deverão ser contabilizados no Lucro Bruto.
O BDI deverá contemplar todos os custos indiretos, conforme previsto no artigo 15 da Resolução 114/2010 do CNJ (Conselho Nacional de Justiça).</t>
    </r>
  </si>
  <si>
    <t>* Empresas enquadradas na lei de desoneração.</t>
  </si>
  <si>
    <t>Cálculo dos Encargos Sociais</t>
  </si>
  <si>
    <t xml:space="preserve">Tabelas SINAPI utilizadas na base orçamentária (Mês/Ano): </t>
  </si>
  <si>
    <t>Encargos Sociais Sobre a Mão de Obra:</t>
  </si>
  <si>
    <t>COM DESONERAÇÃO</t>
  </si>
  <si>
    <t>SEM DESONERAÇÃO</t>
  </si>
  <si>
    <t>HORISTA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</si>
  <si>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</si>
  <si>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</si>
  <si>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</si>
  <si>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</si>
  <si>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</si>
  <si>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</si>
  <si>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</si>
  <si>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</si>
  <si>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</si>
  <si>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</si>
  <si>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</si>
  <si>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</si>
  <si>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</si>
  <si>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</si>
  <si>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</si>
  <si>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</si>
  <si>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</si>
  <si>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</si>
  <si>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</si>
  <si>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</si>
  <si>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</si>
  <si>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</si>
  <si>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</si>
  <si>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</si>
  <si>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</si>
  <si>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</si>
  <si>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</si>
  <si>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</si>
  <si>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</si>
  <si>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</si>
  <si>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</si>
  <si>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</si>
  <si>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</si>
  <si>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</si>
  <si>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</si>
  <si>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</si>
  <si>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</si>
  <si>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</si>
  <si>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Acidentes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</si>
  <si>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</si>
  <si>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</si>
  <si>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</si>
  <si>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</si>
  <si>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</si>
  <si>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</si>
  <si>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</si>
  <si>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</si>
  <si>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</si>
  <si>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</si>
  <si>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</si>
  <si>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</si>
  <si>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</si>
  <si>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</si>
  <si>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</si>
  <si>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</si>
  <si>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</si>
  <si>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</si>
  <si>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</si>
  <si>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Reicidência de Grupo A sobre Grupo B</t>
  </si>
  <si>
    <t>D2</t>
  </si>
  <si>
    <t>Reincidêcia de Grupo A sobre Aviso Prévio Trabalhando e Reincidência do FGTS sobre Aviso Prévio Indenizado</t>
  </si>
  <si>
    <t>D</t>
  </si>
  <si>
    <t>Total (A+B+C+D)</t>
  </si>
  <si>
    <t>PLANILHA DE PREÇOS ( Materiais e Mão de Obra )</t>
  </si>
  <si>
    <t>PROJETO:</t>
  </si>
  <si>
    <t>RESTAURO DAS RUINAS DO ANTIGO PRESÍDIO DA ILHA DE ANCHIETA</t>
  </si>
  <si>
    <t>LOCAL:</t>
  </si>
  <si>
    <t>UBATATUBA/SP</t>
  </si>
  <si>
    <t>B.D.I. serviços:</t>
  </si>
  <si>
    <t>SERVIÇO:</t>
  </si>
  <si>
    <t xml:space="preserve">ORÇAMENTO </t>
  </si>
  <si>
    <t>PRAZO DA OBRA:</t>
  </si>
  <si>
    <t>B.D.I. equipamentos:</t>
  </si>
  <si>
    <t>REVISÃO</t>
  </si>
  <si>
    <t>UNID.</t>
  </si>
  <si>
    <t>QUANT.</t>
  </si>
  <si>
    <t>PREÇO UNITÁRIO MAT. (R$)</t>
  </si>
  <si>
    <t>PREÇO UNITÁRIO M.O. (R$)</t>
  </si>
  <si>
    <t>PREÇO UNITÁRIO EQUIP. E OUTROS (R$)</t>
  </si>
  <si>
    <t>PREÇO UNITÁRIO FINAL (R$)</t>
  </si>
  <si>
    <t>PREÇO TOTAL FINAL BDI SERVIÇOS (R$)</t>
  </si>
  <si>
    <t xml:space="preserve">% TOTAL DA OBRA </t>
  </si>
  <si>
    <t>7.0</t>
  </si>
  <si>
    <t>ADMINISTRAÇÃO DA OBRA</t>
  </si>
  <si>
    <t>TCU</t>
  </si>
  <si>
    <t>Acórdão n°2622/2013</t>
  </si>
  <si>
    <t>3° QUARTIL</t>
  </si>
  <si>
    <t>1) alimentação, transporte, EPIs, Exames Médicos e Ferramentas; 2) Segurança do Trabalho; 3) Garantia e Controle de Qualidade; 4) Meio Ambiente; 5) Seção Técnica; 6) Mão de Obra Administrativa; 7) Equipe de Produção</t>
  </si>
  <si>
    <t>-</t>
  </si>
  <si>
    <t>TOTAL DO ITEM 15.0</t>
  </si>
  <si>
    <t>ASSINATURA DO COORDENADOR DA OFFICEPLAN</t>
  </si>
  <si>
    <t>un</t>
  </si>
  <si>
    <t>h</t>
  </si>
  <si>
    <t>COMPOSIÇÃO VALOR DE TRANSPORTE DE PESSOAS E MATERIAL</t>
  </si>
  <si>
    <t>1.4</t>
  </si>
  <si>
    <t>E9601 SICRO</t>
  </si>
  <si>
    <t>1.5</t>
  </si>
  <si>
    <t>1.6</t>
  </si>
  <si>
    <t>E9603 SICRO</t>
  </si>
  <si>
    <t>1.7</t>
  </si>
  <si>
    <t>Cód. SICRO</t>
  </si>
  <si>
    <t xml:space="preserve"> Embarcação de transporte de pessoal e apoio logístico - 130 Kw - tempo produtivo (1h30min por dia de transporte de pessoal(ida e volta) - 12 meses = 22 dias/mês)</t>
  </si>
  <si>
    <t xml:space="preserve"> Embarcação empurradora multipropósito com guindaste hidráulico de 74 kN.m - 165 kW- tempo produtivo (1h30min ida e volta por dia durante 12 meses = 20 dias/mês</t>
  </si>
  <si>
    <t xml:space="preserve"> Embarcação de transporte de pessoal e apoio logístico - 130 Kw - tempo improdutivo (15 minutos por dia - 12 meses = 22 dias/mês)</t>
  </si>
  <si>
    <t xml:space="preserve"> Embarcação empurradora multipropósito com guindaste hidráulico de 74 kN.m - 165 kW- tempo improdutivo (20 viagens de materiais/retiradas, 15 minutos parados - 12 meses = 20 dias/mês)</t>
  </si>
  <si>
    <t>VALOR (R$)</t>
  </si>
  <si>
    <t xml:space="preserve"> Mês 1</t>
  </si>
  <si>
    <t>Mês 2</t>
  </si>
  <si>
    <t>Mês 3</t>
  </si>
  <si>
    <t xml:space="preserve"> Mês 4</t>
  </si>
  <si>
    <t xml:space="preserve"> Mês 5</t>
  </si>
  <si>
    <t>Subtotal</t>
  </si>
  <si>
    <t>BDI 22,26%</t>
  </si>
  <si>
    <t xml:space="preserve"> Mês 6</t>
  </si>
  <si>
    <t xml:space="preserve"> Mês 7</t>
  </si>
  <si>
    <t xml:space="preserve"> Mês 8</t>
  </si>
  <si>
    <t xml:space="preserve"> Mês 9</t>
  </si>
  <si>
    <t xml:space="preserve"> Mês 10</t>
  </si>
  <si>
    <t xml:space="preserve"> Mês 11</t>
  </si>
  <si>
    <t xml:space="preserve"> Mês 12</t>
  </si>
  <si>
    <t>SERVIÇO</t>
  </si>
  <si>
    <t>ADM LOCAL 8,87%</t>
  </si>
  <si>
    <t>TOTAL (R$)</t>
  </si>
  <si>
    <t>RESUMO RESTAURO E CONTENÇÕES RUÍNAS PEIA</t>
  </si>
  <si>
    <t>Administr local 8,87%</t>
  </si>
  <si>
    <t>Total em R$ e %</t>
  </si>
  <si>
    <t>Total em R$</t>
  </si>
  <si>
    <t>Percentual de Execução</t>
  </si>
  <si>
    <t xml:space="preserve">ANEXO 5 - CRONOGRAMA FÍSICO FINANCEIRO </t>
  </si>
  <si>
    <t>Etapas</t>
  </si>
  <si>
    <t xml:space="preserve"> 51 </t>
  </si>
  <si>
    <t>ORSE</t>
  </si>
  <si>
    <t>m²</t>
  </si>
  <si>
    <t xml:space="preserve"> 10184 </t>
  </si>
  <si>
    <t>Barracão para banheiro e vestiário de obra, s=35,10m², capacidade 20 operários com materiais novos</t>
  </si>
  <si>
    <t xml:space="preserve"> 54 </t>
  </si>
  <si>
    <t xml:space="preserve"> 61 </t>
  </si>
  <si>
    <t xml:space="preserve"> 62 </t>
  </si>
  <si>
    <t xml:space="preserve"> 2475 </t>
  </si>
  <si>
    <t>Fornecimento de grupo gerador yg125tre  a0010 e a0020 12,5 kva trifásico - radiador e partida elétrica</t>
  </si>
  <si>
    <t xml:space="preserve"> 13311 </t>
  </si>
  <si>
    <t>Andaime metálico fachadeiro - locação mensal , exceto  montagem, desmontagem e tela</t>
  </si>
  <si>
    <t>m²xmês</t>
  </si>
  <si>
    <t xml:space="preserve"> 12674 </t>
  </si>
  <si>
    <t>Montagem e desmontagem de peças metálicas de escoramento e/ou andaimes</t>
  </si>
  <si>
    <t>m³</t>
  </si>
  <si>
    <t>Próprio</t>
  </si>
  <si>
    <t>TRANSPORTE DE PESSOAS E MATERIAL - MARITIMO</t>
  </si>
  <si>
    <t xml:space="preserve"> 1714 </t>
  </si>
  <si>
    <t>Fossa séptica pré-moldada, tipo oms, capacidade 100 pessoas (v=5290 litros)</t>
  </si>
  <si>
    <t xml:space="preserve"> 93358 </t>
  </si>
  <si>
    <t>ESCAVAÇÃO MANUAL DE VALA COM PROFUNDIDADE MENOR OU IGUAL A 1,30 M. AF_02/2021</t>
  </si>
  <si>
    <t xml:space="preserve"> 89512 </t>
  </si>
  <si>
    <t>TUBO PVC, SÉRIE R, ÁGUA PLUVIAL, DN 100 MM, FORNECIDO E INSTALADO EM RAMAL DE ENCAMINHAMENTO. AF_06/2022</t>
  </si>
  <si>
    <t xml:space="preserve"> 96995 </t>
  </si>
  <si>
    <t>REATERRO MANUAL APILOADO COM SOQUETE. AF_10/2017</t>
  </si>
  <si>
    <t xml:space="preserve"> 99814 </t>
  </si>
  <si>
    <t>LIMPEZA DE SUPERFÍCIE COM JATO DE ALTA PRESSÃO. AF_04/2019</t>
  </si>
  <si>
    <t xml:space="preserve"> 8715 </t>
  </si>
  <si>
    <t>Restauro - Erradicação de liquens e fungos em paredes e ornatos</t>
  </si>
  <si>
    <t xml:space="preserve"> 8721 </t>
  </si>
  <si>
    <t>Restauro - Erradicação de vegetação em paredes e ornatos</t>
  </si>
  <si>
    <t xml:space="preserve"> 4050 </t>
  </si>
  <si>
    <t>Restauro - Pintura de proteção com aplicação de 01 demão de verniz Paraloid B72 ou similar -  Rev. 03  02/2022</t>
  </si>
  <si>
    <t xml:space="preserve"> 346 </t>
  </si>
  <si>
    <t xml:space="preserve"> 397 </t>
  </si>
  <si>
    <t xml:space="preserve"> 398 </t>
  </si>
  <si>
    <t>REATAURO - APLICAÇÃO COLA PELE DE COELHO</t>
  </si>
  <si>
    <t xml:space="preserve"> 2337 </t>
  </si>
  <si>
    <t>Aplicação de fundo fosfatizante (p/aço galvanizado) - 1 demão</t>
  </si>
  <si>
    <t xml:space="preserve"> 94439 </t>
  </si>
  <si>
    <t>(COMPOSIÇÃO REPRESENTATIVA) DO SERVIÇO DE CONTRAPISO EM ARGAMASSA TRAÇO 1:4 (CIM E AREIA), BETONEIRA 400 L, E = 4 CM ÁREAS SECAS E  MOLHADAS SOBRE LAJE , E = 3 CM ÁREAS MOLHADAS SOBRE IMPERMEABILIZAÇÃO, CASA E EDIFICAÇÃO PÚBLICA PADRÃO. AF_11/2014</t>
  </si>
  <si>
    <t xml:space="preserve"> 98670 </t>
  </si>
  <si>
    <t>PISO EM LADRILHO HIDRÁULICO APLICADO EM AMBIENTES INTERNOS, INCLUSO APLICAÇÃO DE RESINA. AF_06/2018</t>
  </si>
  <si>
    <t xml:space="preserve"> 8215 </t>
  </si>
  <si>
    <t xml:space="preserve"> 4716 </t>
  </si>
  <si>
    <t>Grade em metalon</t>
  </si>
  <si>
    <t xml:space="preserve"> 9215 </t>
  </si>
  <si>
    <t>Cobertura em policarbonato alveolar de 8mm, fixado em peças de alumínio inclusive instalação</t>
  </si>
  <si>
    <t xml:space="preserve"> 12374 </t>
  </si>
  <si>
    <t>Estrutura Metálica Galpões em Pórticos - Colunas/Vigas em Alma Cheia, Terças UDC 127, 2 águas, s/ lanternin, Pd 6,0m, entre pórticos 6,00m, vão 15,0 a 20,0m, pintura 1d  epoxi óx. ferro + 2 d esmalte epoxi branco, exceto forn. Telhas - Executada</t>
  </si>
  <si>
    <t xml:space="preserve"> 7729 </t>
  </si>
  <si>
    <t>Impermeabilização de superficie c/argamassa 1:3 (cimento e areia), esp=2,5cm, c/impermeabilizante Vedacit ou similar</t>
  </si>
  <si>
    <t xml:space="preserve"> 94216 </t>
  </si>
  <si>
    <t>TELHAMENTO COM TELHA METÁLICA TERMOACÚSTICA E = 30 MM, COM ATÉ 2 ÁGUAS, INCLUSO IÇAMENTO. AF_07/2019</t>
  </si>
  <si>
    <t xml:space="preserve"> 2450 </t>
  </si>
  <si>
    <t>Limpeza geral</t>
  </si>
  <si>
    <t>Composição Embarcação</t>
  </si>
  <si>
    <t>Composição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</si>
</sst>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7" formatCode="dd\.mm\.yyyy;@"/>
    <numFmt numFmtId="168" formatCode="_(* #,##0.0000_);_(* \(#,##0.0000\);_(* &quot;-&quot;??_);_(@_)"/>
    <numFmt numFmtId="169" formatCode="_-* #,##0_-;\-* #,##0_-;_-* &quot;-&quot;??_-;_-@_-"/>
  </numFmts>
  <fonts count="5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6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name val="Arial"/>
      <family val="2"/>
    </font>
    <font>
      <i/>
      <sz val="9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b/>
      <sz val="12"/>
      <color indexed="8"/>
      <name val="Verdana"/>
      <family val="2"/>
    </font>
    <font>
      <sz val="8"/>
      <name val="Arial"/>
      <family val="2"/>
    </font>
    <font>
      <b/>
      <sz val="10"/>
      <color theme="1"/>
      <name val="Verdana"/>
      <family val="2"/>
    </font>
    <font>
      <b/>
      <sz val="11"/>
      <name val="Calibri"/>
      <family val="2"/>
      <scheme val="minor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5" fillId="0" borderId="0">
      <alignment vertical="top"/>
    </xf>
    <xf numFmtId="164" fontId="25" fillId="0" borderId="0" applyFont="0" applyFill="0" applyBorder="0" applyAlignment="0" applyProtection="0">
      <alignment vertical="top"/>
    </xf>
    <xf numFmtId="9" fontId="25" fillId="0" borderId="0" applyFont="0" applyFill="0" applyBorder="0" applyAlignment="0" applyProtection="0">
      <alignment vertical="top"/>
    </xf>
    <xf numFmtId="43" fontId="51" fillId="0" borderId="0" applyFont="0" applyFill="0" applyBorder="0" applyAlignment="0" applyProtection="0"/>
  </cellStyleXfs>
  <cellXfs count="421">
    <xf numFmtId="0" fontId="0" fillId="0" borderId="0" xfId="0"/>
    <xf numFmtId="0" fontId="4" fillId="0" borderId="0" xfId="0" applyFont="1" applyAlignment="1">
      <alignment vertical="center"/>
    </xf>
    <xf numFmtId="43" fontId="5" fillId="2" borderId="5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7" fillId="3" borderId="8" xfId="1" applyNumberFormat="1" applyFont="1" applyFill="1" applyBorder="1" applyAlignment="1">
      <alignment horizontal="right" vertical="center" wrapText="1"/>
    </xf>
    <xf numFmtId="2" fontId="7" fillId="3" borderId="8" xfId="1" applyNumberFormat="1" applyFont="1" applyFill="1" applyBorder="1" applyAlignment="1">
      <alignment horizontal="right" vertical="center" wrapText="1"/>
    </xf>
    <xf numFmtId="2" fontId="7" fillId="3" borderId="9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7" fillId="4" borderId="5" xfId="2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3" fontId="7" fillId="3" borderId="8" xfId="1" applyFont="1" applyFill="1" applyBorder="1" applyAlignment="1">
      <alignment vertical="center" wrapText="1"/>
    </xf>
    <xf numFmtId="43" fontId="7" fillId="3" borderId="9" xfId="1" applyFont="1" applyFill="1" applyBorder="1" applyAlignment="1">
      <alignment vertical="center" wrapText="1"/>
    </xf>
    <xf numFmtId="2" fontId="7" fillId="0" borderId="0" xfId="2" applyNumberFormat="1" applyFont="1" applyAlignment="1">
      <alignment horizontal="center" vertical="center"/>
    </xf>
    <xf numFmtId="2" fontId="7" fillId="0" borderId="0" xfId="2" applyNumberFormat="1" applyFont="1" applyAlignment="1">
      <alignment vertical="center" wrapText="1"/>
    </xf>
    <xf numFmtId="43" fontId="7" fillId="0" borderId="0" xfId="3" applyFont="1" applyBorder="1" applyAlignment="1">
      <alignment vertical="center"/>
    </xf>
    <xf numFmtId="43" fontId="6" fillId="0" borderId="10" xfId="1" applyFont="1" applyFill="1" applyBorder="1" applyAlignment="1">
      <alignment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2" fontId="7" fillId="0" borderId="8" xfId="2" applyNumberFormat="1" applyFont="1" applyBorder="1" applyAlignment="1">
      <alignment horizontal="center" vertical="center"/>
    </xf>
    <xf numFmtId="2" fontId="7" fillId="0" borderId="8" xfId="2" applyNumberFormat="1" applyFont="1" applyBorder="1" applyAlignment="1">
      <alignment vertical="center" wrapText="1"/>
    </xf>
    <xf numFmtId="43" fontId="7" fillId="0" borderId="8" xfId="3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2" fontId="7" fillId="0" borderId="8" xfId="2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3" fontId="4" fillId="2" borderId="13" xfId="0" applyNumberFormat="1" applyFont="1" applyFill="1" applyBorder="1" applyAlignment="1">
      <alignment vertical="center"/>
    </xf>
    <xf numFmtId="43" fontId="3" fillId="2" borderId="14" xfId="0" applyNumberFormat="1" applyFont="1" applyFill="1" applyBorder="1" applyAlignment="1">
      <alignment vertical="center"/>
    </xf>
    <xf numFmtId="43" fontId="3" fillId="2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3" fontId="4" fillId="2" borderId="17" xfId="0" applyNumberFormat="1" applyFont="1" applyFill="1" applyBorder="1" applyAlignment="1">
      <alignment vertical="center"/>
    </xf>
    <xf numFmtId="43" fontId="3" fillId="2" borderId="18" xfId="0" applyNumberFormat="1" applyFont="1" applyFill="1" applyBorder="1" applyAlignment="1">
      <alignment vertical="center"/>
    </xf>
    <xf numFmtId="43" fontId="3" fillId="2" borderId="19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43" fontId="4" fillId="2" borderId="8" xfId="0" applyNumberFormat="1" applyFont="1" applyFill="1" applyBorder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43" fontId="3" fillId="2" borderId="1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3" fontId="4" fillId="2" borderId="21" xfId="0" applyNumberFormat="1" applyFont="1" applyFill="1" applyBorder="1" applyAlignment="1">
      <alignment vertical="center"/>
    </xf>
    <xf numFmtId="43" fontId="3" fillId="2" borderId="22" xfId="0" applyNumberFormat="1" applyFont="1" applyFill="1" applyBorder="1" applyAlignment="1">
      <alignment vertical="center"/>
    </xf>
    <xf numFmtId="43" fontId="3" fillId="2" borderId="23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left" vertical="center" wrapText="1"/>
    </xf>
    <xf numFmtId="0" fontId="15" fillId="8" borderId="26" xfId="0" applyFont="1" applyFill="1" applyBorder="1"/>
    <xf numFmtId="0" fontId="15" fillId="8" borderId="26" xfId="1" applyNumberFormat="1" applyFont="1" applyFill="1" applyBorder="1" applyAlignment="1">
      <alignment horizontal="center" vertical="center"/>
    </xf>
    <xf numFmtId="43" fontId="15" fillId="8" borderId="26" xfId="1" applyFont="1" applyFill="1" applyBorder="1"/>
    <xf numFmtId="0" fontId="2" fillId="5" borderId="26" xfId="0" applyFont="1" applyFill="1" applyBorder="1"/>
    <xf numFmtId="0" fontId="2" fillId="5" borderId="26" xfId="1" applyNumberFormat="1" applyFont="1" applyFill="1" applyBorder="1" applyAlignment="1">
      <alignment horizontal="center" vertical="center"/>
    </xf>
    <xf numFmtId="43" fontId="0" fillId="5" borderId="26" xfId="1" applyFont="1" applyFill="1" applyBorder="1"/>
    <xf numFmtId="0" fontId="0" fillId="0" borderId="0" xfId="1" applyNumberFormat="1" applyFont="1" applyAlignment="1">
      <alignment horizontal="center" vertical="center"/>
    </xf>
    <xf numFmtId="43" fontId="0" fillId="0" borderId="0" xfId="1" applyFont="1"/>
    <xf numFmtId="43" fontId="0" fillId="0" borderId="0" xfId="1" applyFont="1" applyBorder="1"/>
    <xf numFmtId="0" fontId="22" fillId="9" borderId="0" xfId="0" applyFont="1" applyFill="1" applyProtection="1">
      <protection locked="0"/>
    </xf>
    <xf numFmtId="0" fontId="25" fillId="0" borderId="30" xfId="13" applyBorder="1">
      <alignment vertical="top"/>
    </xf>
    <xf numFmtId="0" fontId="25" fillId="0" borderId="31" xfId="13" applyBorder="1">
      <alignment vertical="top"/>
    </xf>
    <xf numFmtId="0" fontId="25" fillId="0" borderId="32" xfId="13" applyBorder="1">
      <alignment vertical="top"/>
    </xf>
    <xf numFmtId="0" fontId="25" fillId="0" borderId="0" xfId="13">
      <alignment vertical="top"/>
    </xf>
    <xf numFmtId="0" fontId="27" fillId="0" borderId="33" xfId="13" applyFont="1" applyBorder="1" applyAlignment="1">
      <alignment horizontal="center" vertical="justify"/>
    </xf>
    <xf numFmtId="0" fontId="27" fillId="0" borderId="0" xfId="13" applyFont="1" applyAlignment="1">
      <alignment horizontal="center" vertical="justify"/>
    </xf>
    <xf numFmtId="0" fontId="27" fillId="0" borderId="34" xfId="13" applyFont="1" applyBorder="1" applyAlignment="1">
      <alignment horizontal="center" vertical="justify"/>
    </xf>
    <xf numFmtId="4" fontId="10" fillId="0" borderId="0" xfId="13" applyNumberFormat="1" applyFont="1" applyAlignment="1">
      <alignment horizontal="center" vertical="center"/>
    </xf>
    <xf numFmtId="168" fontId="10" fillId="0" borderId="0" xfId="14" applyNumberFormat="1" applyFont="1" applyAlignment="1">
      <alignment vertical="center"/>
    </xf>
    <xf numFmtId="49" fontId="28" fillId="0" borderId="33" xfId="13" applyNumberFormat="1" applyFont="1" applyBorder="1" applyAlignment="1">
      <alignment horizontal="center" vertical="justify"/>
    </xf>
    <xf numFmtId="49" fontId="28" fillId="0" borderId="0" xfId="13" applyNumberFormat="1" applyFont="1" applyAlignment="1">
      <alignment horizontal="center" vertical="justify"/>
    </xf>
    <xf numFmtId="49" fontId="28" fillId="0" borderId="34" xfId="13" applyNumberFormat="1" applyFont="1" applyBorder="1" applyAlignment="1">
      <alignment horizontal="center" vertical="justify"/>
    </xf>
    <xf numFmtId="4" fontId="10" fillId="0" borderId="0" xfId="14" applyNumberFormat="1" applyFont="1" applyAlignment="1">
      <alignment horizontal="center" vertical="center"/>
    </xf>
    <xf numFmtId="0" fontId="28" fillId="0" borderId="48" xfId="13" applyFont="1" applyBorder="1" applyAlignment="1"/>
    <xf numFmtId="0" fontId="28" fillId="0" borderId="26" xfId="13" applyFont="1" applyBorder="1" applyAlignment="1"/>
    <xf numFmtId="10" fontId="28" fillId="0" borderId="36" xfId="14" applyNumberFormat="1" applyFont="1" applyBorder="1" applyAlignment="1"/>
    <xf numFmtId="0" fontId="29" fillId="0" borderId="48" xfId="13" applyFont="1" applyBorder="1" applyAlignment="1"/>
    <xf numFmtId="0" fontId="29" fillId="0" borderId="26" xfId="13" applyFont="1" applyBorder="1" applyAlignment="1"/>
    <xf numFmtId="10" fontId="29" fillId="0" borderId="36" xfId="15" applyNumberFormat="1" applyFont="1" applyBorder="1" applyAlignment="1"/>
    <xf numFmtId="0" fontId="28" fillId="0" borderId="26" xfId="13" applyFont="1" applyBorder="1" applyAlignment="1">
      <alignment horizontal="right"/>
    </xf>
    <xf numFmtId="10" fontId="28" fillId="0" borderId="36" xfId="15" applyNumberFormat="1" applyFont="1" applyBorder="1" applyAlignment="1"/>
    <xf numFmtId="10" fontId="29" fillId="0" borderId="36" xfId="14" applyNumberFormat="1" applyFont="1" applyBorder="1" applyAlignment="1"/>
    <xf numFmtId="10" fontId="10" fillId="0" borderId="0" xfId="15" applyNumberFormat="1" applyFont="1" applyAlignment="1">
      <alignment vertical="center"/>
    </xf>
    <xf numFmtId="0" fontId="10" fillId="0" borderId="0" xfId="13" applyFont="1" applyAlignment="1">
      <alignment horizontal="center"/>
    </xf>
    <xf numFmtId="168" fontId="10" fillId="0" borderId="0" xfId="14" applyNumberFormat="1" applyFont="1" applyAlignment="1"/>
    <xf numFmtId="0" fontId="30" fillId="0" borderId="26" xfId="13" applyFont="1" applyBorder="1" applyAlignment="1"/>
    <xf numFmtId="0" fontId="29" fillId="0" borderId="49" xfId="13" applyFont="1" applyBorder="1" applyAlignment="1"/>
    <xf numFmtId="0" fontId="28" fillId="0" borderId="50" xfId="13" applyFont="1" applyBorder="1" applyAlignment="1">
      <alignment horizontal="right"/>
    </xf>
    <xf numFmtId="10" fontId="28" fillId="0" borderId="51" xfId="14" applyNumberFormat="1" applyFont="1" applyBorder="1" applyAlignment="1"/>
    <xf numFmtId="0" fontId="29" fillId="0" borderId="33" xfId="13" applyFont="1" applyBorder="1" applyAlignment="1"/>
    <xf numFmtId="0" fontId="29" fillId="0" borderId="0" xfId="13" applyFont="1" applyAlignment="1"/>
    <xf numFmtId="10" fontId="29" fillId="0" borderId="34" xfId="14" applyNumberFormat="1" applyFont="1" applyBorder="1" applyAlignment="1"/>
    <xf numFmtId="0" fontId="28" fillId="0" borderId="0" xfId="13" applyFont="1" applyAlignment="1"/>
    <xf numFmtId="10" fontId="28" fillId="0" borderId="34" xfId="14" applyNumberFormat="1" applyFont="1" applyFill="1" applyBorder="1" applyAlignment="1"/>
    <xf numFmtId="0" fontId="10" fillId="0" borderId="47" xfId="13" applyFont="1" applyBorder="1" applyAlignment="1"/>
    <xf numFmtId="0" fontId="35" fillId="7" borderId="50" xfId="0" applyFont="1" applyFill="1" applyBorder="1" applyAlignment="1">
      <alignment horizontal="center" vertical="center"/>
    </xf>
    <xf numFmtId="0" fontId="35" fillId="7" borderId="51" xfId="0" applyFont="1" applyFill="1" applyBorder="1" applyAlignment="1">
      <alignment horizontal="center" vertical="center"/>
    </xf>
    <xf numFmtId="0" fontId="12" fillId="11" borderId="61" xfId="0" applyFont="1" applyFill="1" applyBorder="1" applyAlignment="1">
      <alignment horizontal="center" vertical="center"/>
    </xf>
    <xf numFmtId="10" fontId="37" fillId="0" borderId="62" xfId="0" applyNumberFormat="1" applyFont="1" applyBorder="1" applyAlignment="1" applyProtection="1">
      <alignment horizontal="center" vertical="center"/>
      <protection locked="0"/>
    </xf>
    <xf numFmtId="10" fontId="37" fillId="0" borderId="63" xfId="0" applyNumberFormat="1" applyFont="1" applyBorder="1" applyAlignment="1" applyProtection="1">
      <alignment horizontal="center" vertical="center"/>
      <protection locked="0"/>
    </xf>
    <xf numFmtId="0" fontId="12" fillId="11" borderId="48" xfId="0" applyFont="1" applyFill="1" applyBorder="1" applyAlignment="1">
      <alignment horizontal="center" vertical="center"/>
    </xf>
    <xf numFmtId="10" fontId="37" fillId="0" borderId="26" xfId="0" applyNumberFormat="1" applyFont="1" applyBorder="1" applyAlignment="1" applyProtection="1">
      <alignment horizontal="center" vertical="center"/>
      <protection locked="0"/>
    </xf>
    <xf numFmtId="10" fontId="37" fillId="0" borderId="36" xfId="0" applyNumberFormat="1" applyFont="1" applyBorder="1" applyAlignment="1" applyProtection="1">
      <alignment horizontal="center" vertical="center"/>
      <protection locked="0"/>
    </xf>
    <xf numFmtId="0" fontId="12" fillId="11" borderId="64" xfId="0" applyFont="1" applyFill="1" applyBorder="1" applyAlignment="1">
      <alignment horizontal="center" vertical="center"/>
    </xf>
    <xf numFmtId="10" fontId="37" fillId="0" borderId="65" xfId="0" applyNumberFormat="1" applyFont="1" applyBorder="1" applyAlignment="1" applyProtection="1">
      <alignment horizontal="center" vertical="center"/>
      <protection locked="0"/>
    </xf>
    <xf numFmtId="10" fontId="37" fillId="0" borderId="66" xfId="0" applyNumberFormat="1" applyFont="1" applyBorder="1" applyAlignment="1" applyProtection="1">
      <alignment horizontal="center" vertical="center"/>
      <protection locked="0"/>
    </xf>
    <xf numFmtId="0" fontId="11" fillId="7" borderId="67" xfId="0" applyFont="1" applyFill="1" applyBorder="1" applyAlignment="1">
      <alignment horizontal="center" vertical="center"/>
    </xf>
    <xf numFmtId="10" fontId="36" fillId="7" borderId="68" xfId="0" applyNumberFormat="1" applyFont="1" applyFill="1" applyBorder="1" applyAlignment="1">
      <alignment horizontal="center" vertical="center"/>
    </xf>
    <xf numFmtId="10" fontId="36" fillId="7" borderId="69" xfId="0" applyNumberFormat="1" applyFont="1" applyFill="1" applyBorder="1" applyAlignment="1">
      <alignment horizontal="center" vertical="center"/>
    </xf>
    <xf numFmtId="0" fontId="11" fillId="7" borderId="70" xfId="0" applyFont="1" applyFill="1" applyBorder="1" applyAlignment="1">
      <alignment horizontal="center" vertical="center"/>
    </xf>
    <xf numFmtId="10" fontId="36" fillId="7" borderId="28" xfId="0" applyNumberFormat="1" applyFont="1" applyFill="1" applyBorder="1" applyAlignment="1">
      <alignment horizontal="center" vertical="center"/>
    </xf>
    <xf numFmtId="10" fontId="36" fillId="7" borderId="71" xfId="0" applyNumberFormat="1" applyFont="1" applyFill="1" applyBorder="1" applyAlignment="1">
      <alignment horizontal="center" vertical="center"/>
    </xf>
    <xf numFmtId="17" fontId="13" fillId="0" borderId="26" xfId="0" applyNumberFormat="1" applyFont="1" applyBorder="1" applyAlignment="1">
      <alignment horizontal="center" vertical="center"/>
    </xf>
    <xf numFmtId="0" fontId="21" fillId="0" borderId="26" xfId="11" applyFont="1" applyBorder="1" applyAlignment="1" applyProtection="1">
      <alignment horizontal="center" vertical="center" wrapText="1"/>
      <protection locked="0"/>
    </xf>
    <xf numFmtId="17" fontId="40" fillId="0" borderId="26" xfId="0" applyNumberFormat="1" applyFont="1" applyBorder="1" applyAlignment="1">
      <alignment horizontal="center" vertical="center"/>
    </xf>
    <xf numFmtId="0" fontId="38" fillId="0" borderId="48" xfId="11" applyFont="1" applyBorder="1" applyAlignment="1" applyProtection="1">
      <alignment horizontal="center" vertical="center" wrapText="1"/>
      <protection locked="0"/>
    </xf>
    <xf numFmtId="0" fontId="21" fillId="0" borderId="26" xfId="11" applyFont="1" applyBorder="1" applyAlignment="1" applyProtection="1">
      <alignment vertical="center" wrapText="1"/>
      <protection locked="0"/>
    </xf>
    <xf numFmtId="10" fontId="21" fillId="0" borderId="36" xfId="11" applyNumberFormat="1" applyFont="1" applyBorder="1" applyAlignment="1" applyProtection="1">
      <alignment horizontal="center" vertical="center" wrapText="1"/>
      <protection locked="0"/>
    </xf>
    <xf numFmtId="0" fontId="22" fillId="0" borderId="26" xfId="11" applyFont="1" applyBorder="1" applyAlignment="1" applyProtection="1">
      <alignment horizontal="center" vertical="center" wrapText="1"/>
      <protection locked="0"/>
    </xf>
    <xf numFmtId="4" fontId="2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48" xfId="11" applyFont="1" applyBorder="1" applyAlignment="1" applyProtection="1">
      <alignment horizontal="center" vertical="center" wrapText="1"/>
      <protection locked="0"/>
    </xf>
    <xf numFmtId="10" fontId="22" fillId="0" borderId="26" xfId="7" applyNumberFormat="1" applyFont="1" applyFill="1" applyBorder="1" applyAlignment="1" applyProtection="1">
      <alignment vertical="center" wrapText="1"/>
      <protection locked="0"/>
    </xf>
    <xf numFmtId="4" fontId="21" fillId="0" borderId="26" xfId="11" applyNumberFormat="1" applyFont="1" applyBorder="1" applyAlignment="1" applyProtection="1">
      <alignment vertical="center" wrapText="1"/>
      <protection locked="0"/>
    </xf>
    <xf numFmtId="0" fontId="0" fillId="0" borderId="36" xfId="0" applyBorder="1"/>
    <xf numFmtId="0" fontId="21" fillId="5" borderId="26" xfId="1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21" fillId="0" borderId="79" xfId="11" applyNumberFormat="1" applyFont="1" applyBorder="1" applyAlignment="1" applyProtection="1">
      <alignment vertical="center" wrapText="1"/>
      <protection locked="0"/>
    </xf>
    <xf numFmtId="10" fontId="21" fillId="0" borderId="79" xfId="7" applyNumberFormat="1" applyFont="1" applyFill="1" applyBorder="1" applyAlignment="1" applyProtection="1">
      <alignment vertical="center" wrapText="1"/>
      <protection locked="0"/>
    </xf>
    <xf numFmtId="0" fontId="22" fillId="0" borderId="48" xfId="11" applyFont="1" applyBorder="1" applyAlignment="1" applyProtection="1">
      <alignment horizontal="center" vertical="center" wrapText="1"/>
      <protection locked="0"/>
    </xf>
    <xf numFmtId="49" fontId="42" fillId="0" borderId="26" xfId="11" applyNumberFormat="1" applyFont="1" applyBorder="1" applyAlignment="1">
      <alignment horizontal="center" vertical="center"/>
    </xf>
    <xf numFmtId="0" fontId="42" fillId="0" borderId="26" xfId="11" applyFont="1" applyBorder="1" applyAlignment="1">
      <alignment horizontal="center" vertical="center"/>
    </xf>
    <xf numFmtId="0" fontId="21" fillId="0" borderId="26" xfId="11" applyFont="1" applyBorder="1" applyAlignment="1" applyProtection="1">
      <alignment horizontal="right" vertical="center" wrapText="1"/>
      <protection locked="0"/>
    </xf>
    <xf numFmtId="43" fontId="21" fillId="0" borderId="26" xfId="1" applyFont="1" applyFill="1" applyBorder="1" applyAlignment="1" applyProtection="1">
      <alignment horizontal="right" vertical="center" wrapText="1"/>
      <protection locked="0"/>
    </xf>
    <xf numFmtId="4" fontId="21" fillId="0" borderId="26" xfId="11" applyNumberFormat="1" applyFont="1" applyBorder="1" applyAlignment="1" applyProtection="1">
      <alignment horizontal="right" vertical="center" wrapText="1"/>
      <protection locked="0"/>
    </xf>
    <xf numFmtId="10" fontId="43" fillId="0" borderId="36" xfId="7" applyNumberFormat="1" applyFont="1" applyBorder="1"/>
    <xf numFmtId="0" fontId="21" fillId="5" borderId="48" xfId="11" applyFont="1" applyFill="1" applyBorder="1" applyAlignment="1" applyProtection="1">
      <alignment vertical="center"/>
      <protection locked="0"/>
    </xf>
    <xf numFmtId="0" fontId="21" fillId="5" borderId="26" xfId="11" applyFont="1" applyFill="1" applyBorder="1" applyAlignment="1" applyProtection="1">
      <alignment vertical="center"/>
      <protection locked="0"/>
    </xf>
    <xf numFmtId="0" fontId="21" fillId="5" borderId="26" xfId="11" applyFont="1" applyFill="1" applyBorder="1" applyAlignment="1" applyProtection="1">
      <alignment horizontal="right" vertical="center"/>
      <protection locked="0"/>
    </xf>
    <xf numFmtId="0" fontId="21" fillId="5" borderId="26" xfId="11" applyFont="1" applyFill="1" applyBorder="1" applyAlignment="1" applyProtection="1">
      <alignment horizontal="center" vertical="center"/>
      <protection locked="0"/>
    </xf>
    <xf numFmtId="4" fontId="21" fillId="5" borderId="26" xfId="11" applyNumberFormat="1" applyFont="1" applyFill="1" applyBorder="1" applyAlignment="1" applyProtection="1">
      <alignment horizontal="right" vertical="center"/>
      <protection locked="0"/>
    </xf>
    <xf numFmtId="4" fontId="21" fillId="5" borderId="26" xfId="11" applyNumberFormat="1" applyFont="1" applyFill="1" applyBorder="1" applyAlignment="1" applyProtection="1">
      <alignment vertical="center"/>
      <protection locked="0"/>
    </xf>
    <xf numFmtId="43" fontId="21" fillId="5" borderId="26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7" fillId="0" borderId="0" xfId="0" applyFont="1"/>
    <xf numFmtId="43" fontId="44" fillId="0" borderId="39" xfId="1" applyFont="1" applyFill="1" applyBorder="1" applyAlignment="1">
      <alignment horizontal="left" vertical="center" wrapText="1"/>
    </xf>
    <xf numFmtId="43" fontId="19" fillId="0" borderId="36" xfId="1" applyFont="1" applyFill="1" applyBorder="1" applyAlignment="1">
      <alignment horizontal="center" vertical="center" wrapText="1"/>
    </xf>
    <xf numFmtId="43" fontId="19" fillId="0" borderId="76" xfId="1" applyFont="1" applyFill="1" applyBorder="1" applyAlignment="1">
      <alignment horizontal="center" vertical="center" wrapText="1"/>
    </xf>
    <xf numFmtId="44" fontId="6" fillId="0" borderId="6" xfId="10" applyFont="1" applyFill="1" applyBorder="1" applyAlignment="1">
      <alignment vertical="center" wrapText="1"/>
    </xf>
    <xf numFmtId="44" fontId="6" fillId="4" borderId="5" xfId="10" applyFont="1" applyFill="1" applyBorder="1" applyAlignment="1">
      <alignment horizontal="center" vertical="center" wrapText="1"/>
    </xf>
    <xf numFmtId="44" fontId="6" fillId="4" borderId="5" xfId="10" applyFont="1" applyFill="1" applyBorder="1" applyAlignment="1">
      <alignment horizontal="right" vertical="center" wrapText="1"/>
    </xf>
    <xf numFmtId="43" fontId="15" fillId="3" borderId="26" xfId="1" applyFont="1" applyFill="1" applyBorder="1"/>
    <xf numFmtId="44" fontId="8" fillId="3" borderId="10" xfId="1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43" fontId="47" fillId="2" borderId="86" xfId="1" applyFont="1" applyFill="1" applyBorder="1" applyAlignment="1">
      <alignment horizontal="center" vertical="center" wrapText="1"/>
    </xf>
    <xf numFmtId="43" fontId="45" fillId="2" borderId="87" xfId="1" applyFont="1" applyFill="1" applyBorder="1" applyAlignment="1">
      <alignment horizontal="center" vertical="center"/>
    </xf>
    <xf numFmtId="0" fontId="48" fillId="3" borderId="88" xfId="0" applyFont="1" applyFill="1" applyBorder="1" applyAlignment="1" applyProtection="1">
      <alignment horizontal="center" vertical="center" wrapText="1"/>
      <protection locked="0"/>
    </xf>
    <xf numFmtId="0" fontId="48" fillId="3" borderId="55" xfId="0" applyFont="1" applyFill="1" applyBorder="1" applyAlignment="1">
      <alignment horizontal="center" vertical="center" wrapText="1"/>
    </xf>
    <xf numFmtId="0" fontId="48" fillId="3" borderId="56" xfId="0" applyFont="1" applyFill="1" applyBorder="1" applyAlignment="1">
      <alignment horizontal="left" vertical="center" wrapText="1"/>
    </xf>
    <xf numFmtId="0" fontId="49" fillId="3" borderId="56" xfId="0" applyFont="1" applyFill="1" applyBorder="1" applyAlignment="1">
      <alignment horizontal="center" vertical="center" wrapText="1"/>
    </xf>
    <xf numFmtId="43" fontId="49" fillId="3" borderId="56" xfId="1" applyFont="1" applyFill="1" applyBorder="1" applyAlignment="1">
      <alignment horizontal="center" vertical="center" wrapText="1"/>
    </xf>
    <xf numFmtId="43" fontId="50" fillId="3" borderId="57" xfId="1" applyFont="1" applyFill="1" applyBorder="1" applyAlignment="1">
      <alignment horizontal="center" vertical="center" wrapText="1"/>
    </xf>
    <xf numFmtId="0" fontId="33" fillId="0" borderId="88" xfId="0" applyFont="1" applyBorder="1" applyAlignment="1" applyProtection="1">
      <alignment horizontal="center" vertical="center" wrapText="1"/>
      <protection locked="0"/>
    </xf>
    <xf numFmtId="0" fontId="49" fillId="4" borderId="48" xfId="2" applyFont="1" applyFill="1" applyBorder="1" applyAlignment="1">
      <alignment horizontal="center" vertical="center" wrapText="1"/>
    </xf>
    <xf numFmtId="0" fontId="49" fillId="4" borderId="26" xfId="2" applyFont="1" applyFill="1" applyBorder="1" applyAlignment="1">
      <alignment horizontal="left" vertical="center" wrapText="1"/>
    </xf>
    <xf numFmtId="43" fontId="49" fillId="4" borderId="26" xfId="3" applyFont="1" applyFill="1" applyBorder="1" applyAlignment="1">
      <alignment horizontal="center" vertical="center" wrapText="1"/>
    </xf>
    <xf numFmtId="43" fontId="18" fillId="0" borderId="26" xfId="1" applyFont="1" applyBorder="1" applyAlignment="1">
      <alignment horizontal="center" vertical="center" wrapText="1"/>
    </xf>
    <xf numFmtId="0" fontId="33" fillId="0" borderId="89" xfId="0" applyFont="1" applyBorder="1" applyAlignment="1" applyProtection="1">
      <alignment horizontal="center" vertical="center" wrapText="1"/>
      <protection locked="0"/>
    </xf>
    <xf numFmtId="0" fontId="49" fillId="4" borderId="49" xfId="2" applyFont="1" applyFill="1" applyBorder="1" applyAlignment="1">
      <alignment horizontal="center" vertical="center" wrapText="1"/>
    </xf>
    <xf numFmtId="0" fontId="49" fillId="4" borderId="50" xfId="2" applyFont="1" applyFill="1" applyBorder="1" applyAlignment="1">
      <alignment horizontal="left" vertical="center" wrapText="1"/>
    </xf>
    <xf numFmtId="43" fontId="49" fillId="4" borderId="50" xfId="3" applyFont="1" applyFill="1" applyBorder="1" applyAlignment="1">
      <alignment horizontal="center" vertical="center" wrapText="1"/>
    </xf>
    <xf numFmtId="43" fontId="18" fillId="0" borderId="50" xfId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43" fontId="46" fillId="0" borderId="0" xfId="0" applyNumberFormat="1" applyFont="1" applyAlignment="1">
      <alignment horizontal="center" vertical="center"/>
    </xf>
    <xf numFmtId="44" fontId="18" fillId="0" borderId="26" xfId="10" applyFont="1" applyBorder="1" applyAlignment="1">
      <alignment horizontal="center" vertical="center" wrapText="1"/>
    </xf>
    <xf numFmtId="44" fontId="33" fillId="0" borderId="36" xfId="10" applyFont="1" applyFill="1" applyBorder="1" applyAlignment="1">
      <alignment horizontal="center" vertical="center" wrapText="1"/>
    </xf>
    <xf numFmtId="44" fontId="18" fillId="0" borderId="50" xfId="10" applyFont="1" applyBorder="1" applyAlignment="1">
      <alignment horizontal="center" vertical="center" wrapText="1"/>
    </xf>
    <xf numFmtId="44" fontId="33" fillId="0" borderId="51" xfId="10" applyFont="1" applyFill="1" applyBorder="1" applyAlignment="1">
      <alignment horizontal="center" vertical="center" wrapText="1"/>
    </xf>
    <xf numFmtId="0" fontId="21" fillId="3" borderId="48" xfId="11" applyFont="1" applyFill="1" applyBorder="1" applyAlignment="1" applyProtection="1">
      <alignment horizontal="center" vertical="center" wrapText="1"/>
      <protection locked="0"/>
    </xf>
    <xf numFmtId="49" fontId="21" fillId="3" borderId="26" xfId="11" applyNumberFormat="1" applyFont="1" applyFill="1" applyBorder="1" applyAlignment="1" applyProtection="1">
      <alignment horizontal="center" vertical="center" wrapText="1"/>
      <protection locked="0"/>
    </xf>
    <xf numFmtId="0" fontId="21" fillId="3" borderId="26" xfId="11" applyFont="1" applyFill="1" applyBorder="1" applyAlignment="1" applyProtection="1">
      <alignment horizontal="center" vertical="center" wrapText="1"/>
      <protection locked="0"/>
    </xf>
    <xf numFmtId="43" fontId="21" fillId="3" borderId="26" xfId="1" applyFont="1" applyFill="1" applyBorder="1" applyAlignment="1" applyProtection="1">
      <alignment horizontal="center" vertical="center" wrapText="1"/>
      <protection locked="0"/>
    </xf>
    <xf numFmtId="4" fontId="21" fillId="3" borderId="26" xfId="11" applyNumberFormat="1" applyFont="1" applyFill="1" applyBorder="1" applyAlignment="1" applyProtection="1">
      <alignment horizontal="center" vertical="center" wrapText="1"/>
      <protection locked="0"/>
    </xf>
    <xf numFmtId="4" fontId="21" fillId="3" borderId="36" xfId="11" applyNumberFormat="1" applyFont="1" applyFill="1" applyBorder="1" applyAlignment="1" applyProtection="1">
      <alignment horizontal="center" vertical="center" wrapText="1"/>
      <protection locked="0"/>
    </xf>
    <xf numFmtId="0" fontId="28" fillId="3" borderId="48" xfId="13" applyFont="1" applyFill="1" applyBorder="1" applyAlignment="1">
      <alignment horizontal="center"/>
    </xf>
    <xf numFmtId="0" fontId="28" fillId="3" borderId="26" xfId="13" applyFont="1" applyFill="1" applyBorder="1" applyAlignment="1">
      <alignment horizontal="center"/>
    </xf>
    <xf numFmtId="10" fontId="28" fillId="3" borderId="36" xfId="14" applyNumberFormat="1" applyFont="1" applyFill="1" applyBorder="1" applyAlignment="1">
      <alignment horizontal="center"/>
    </xf>
    <xf numFmtId="0" fontId="28" fillId="3" borderId="24" xfId="13" applyFont="1" applyFill="1" applyBorder="1" applyAlignment="1"/>
    <xf numFmtId="10" fontId="28" fillId="3" borderId="39" xfId="14" applyNumberFormat="1" applyFont="1" applyFill="1" applyBorder="1" applyAlignment="1"/>
    <xf numFmtId="0" fontId="44" fillId="3" borderId="0" xfId="0" applyFont="1" applyFill="1" applyAlignment="1">
      <alignment horizontal="center"/>
    </xf>
    <xf numFmtId="0" fontId="44" fillId="3" borderId="0" xfId="1" applyNumberFormat="1" applyFont="1" applyFill="1" applyAlignment="1">
      <alignment horizontal="center" vertical="center"/>
    </xf>
    <xf numFmtId="43" fontId="44" fillId="3" borderId="0" xfId="1" applyFont="1" applyFill="1" applyAlignment="1">
      <alignment horizontal="center"/>
    </xf>
    <xf numFmtId="43" fontId="44" fillId="3" borderId="0" xfId="1" applyFont="1" applyFill="1" applyBorder="1" applyAlignment="1">
      <alignment horizontal="center"/>
    </xf>
    <xf numFmtId="10" fontId="36" fillId="3" borderId="50" xfId="0" applyNumberFormat="1" applyFont="1" applyFill="1" applyBorder="1" applyAlignment="1">
      <alignment horizontal="center" vertical="center"/>
    </xf>
    <xf numFmtId="10" fontId="36" fillId="3" borderId="51" xfId="0" applyNumberFormat="1" applyFont="1" applyFill="1" applyBorder="1" applyAlignment="1">
      <alignment horizontal="center" vertical="center"/>
    </xf>
    <xf numFmtId="44" fontId="8" fillId="3" borderId="81" xfId="10" applyFont="1" applyFill="1" applyBorder="1" applyAlignment="1">
      <alignment vertical="center" wrapText="1"/>
    </xf>
    <xf numFmtId="0" fontId="5" fillId="12" borderId="4" xfId="0" applyFont="1" applyFill="1" applyBorder="1" applyAlignment="1" applyProtection="1">
      <alignment horizontal="left" vertical="center" wrapText="1"/>
      <protection locked="0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44" fontId="8" fillId="12" borderId="10" xfId="10" applyFont="1" applyFill="1" applyBorder="1" applyAlignment="1">
      <alignment horizontal="right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vertical="center" wrapText="1"/>
    </xf>
    <xf numFmtId="43" fontId="7" fillId="12" borderId="8" xfId="1" applyFont="1" applyFill="1" applyBorder="1" applyAlignment="1">
      <alignment vertical="center" wrapText="1"/>
    </xf>
    <xf numFmtId="43" fontId="7" fillId="12" borderId="9" xfId="1" applyFont="1" applyFill="1" applyBorder="1" applyAlignment="1">
      <alignment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vertical="center" wrapText="1"/>
    </xf>
    <xf numFmtId="44" fontId="8" fillId="12" borderId="10" xfId="10" applyFont="1" applyFill="1" applyBorder="1" applyAlignment="1">
      <alignment vertical="center" wrapText="1"/>
    </xf>
    <xf numFmtId="4" fontId="7" fillId="12" borderId="8" xfId="1" applyNumberFormat="1" applyFont="1" applyFill="1" applyBorder="1" applyAlignment="1">
      <alignment horizontal="right" vertical="center" wrapText="1"/>
    </xf>
    <xf numFmtId="2" fontId="7" fillId="12" borderId="8" xfId="1" applyNumberFormat="1" applyFont="1" applyFill="1" applyBorder="1" applyAlignment="1">
      <alignment horizontal="right" vertical="center" wrapText="1"/>
    </xf>
    <xf numFmtId="2" fontId="7" fillId="12" borderId="9" xfId="1" applyNumberFormat="1" applyFont="1" applyFill="1" applyBorder="1" applyAlignment="1">
      <alignment horizontal="right" vertical="center" wrapText="1"/>
    </xf>
    <xf numFmtId="44" fontId="8" fillId="12" borderId="80" xfId="10" applyFont="1" applyFill="1" applyBorder="1" applyAlignment="1">
      <alignment vertical="center" wrapText="1"/>
    </xf>
    <xf numFmtId="0" fontId="53" fillId="0" borderId="93" xfId="0" applyFont="1" applyBorder="1" applyAlignment="1">
      <alignment horizontal="centerContinuous"/>
    </xf>
    <xf numFmtId="0" fontId="53" fillId="0" borderId="94" xfId="0" applyFont="1" applyBorder="1" applyAlignment="1">
      <alignment horizontal="centerContinuous"/>
    </xf>
    <xf numFmtId="0" fontId="53" fillId="0" borderId="92" xfId="0" applyFont="1" applyBorder="1" applyAlignment="1">
      <alignment horizontal="centerContinuous" vertical="center"/>
    </xf>
    <xf numFmtId="0" fontId="52" fillId="6" borderId="1" xfId="0" applyFont="1" applyFill="1" applyBorder="1" applyAlignment="1">
      <alignment horizontal="center" vertical="center"/>
    </xf>
    <xf numFmtId="0" fontId="52" fillId="6" borderId="2" xfId="0" applyFont="1" applyFill="1" applyBorder="1" applyAlignment="1">
      <alignment horizontal="center" vertical="center"/>
    </xf>
    <xf numFmtId="0" fontId="52" fillId="6" borderId="2" xfId="0" applyFont="1" applyFill="1" applyBorder="1" applyAlignment="1">
      <alignment horizontal="center" vertical="center" wrapText="1"/>
    </xf>
    <xf numFmtId="0" fontId="52" fillId="6" borderId="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" fontId="52" fillId="0" borderId="5" xfId="0" applyNumberFormat="1" applyFont="1" applyBorder="1" applyAlignment="1">
      <alignment vertical="center"/>
    </xf>
    <xf numFmtId="0" fontId="18" fillId="0" borderId="90" xfId="0" applyFont="1" applyBorder="1" applyAlignment="1">
      <alignment vertical="center"/>
    </xf>
    <xf numFmtId="4" fontId="52" fillId="0" borderId="97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52" fillId="0" borderId="6" xfId="0" applyNumberFormat="1" applyFont="1" applyBorder="1" applyAlignment="1">
      <alignment vertical="center"/>
    </xf>
    <xf numFmtId="3" fontId="52" fillId="0" borderId="97" xfId="0" applyNumberFormat="1" applyFont="1" applyBorder="1" applyAlignment="1">
      <alignment vertical="center"/>
    </xf>
    <xf numFmtId="3" fontId="52" fillId="13" borderId="91" xfId="0" applyNumberFormat="1" applyFont="1" applyFill="1" applyBorder="1" applyAlignment="1">
      <alignment vertical="center"/>
    </xf>
    <xf numFmtId="169" fontId="1" fillId="0" borderId="0" xfId="16" applyNumberFormat="1" applyFont="1" applyBorder="1" applyAlignment="1">
      <alignment vertical="center"/>
    </xf>
    <xf numFmtId="169" fontId="1" fillId="5" borderId="0" xfId="16" applyNumberFormat="1" applyFont="1" applyFill="1" applyBorder="1" applyAlignment="1">
      <alignment horizontal="center" vertical="center"/>
    </xf>
    <xf numFmtId="169" fontId="54" fillId="0" borderId="0" xfId="16" applyNumberFormat="1" applyFont="1" applyBorder="1" applyAlignment="1">
      <alignment horizontal="center" vertical="center" wrapText="1"/>
    </xf>
    <xf numFmtId="169" fontId="54" fillId="0" borderId="0" xfId="16" applyNumberFormat="1" applyFont="1" applyBorder="1" applyAlignment="1">
      <alignment vertical="center"/>
    </xf>
    <xf numFmtId="169" fontId="54" fillId="5" borderId="0" xfId="16" applyNumberFormat="1" applyFont="1" applyFill="1" applyBorder="1" applyAlignment="1">
      <alignment vertical="center"/>
    </xf>
    <xf numFmtId="169" fontId="54" fillId="5" borderId="43" xfId="16" applyNumberFormat="1" applyFont="1" applyFill="1" applyBorder="1" applyAlignment="1">
      <alignment vertical="center"/>
    </xf>
    <xf numFmtId="169" fontId="1" fillId="5" borderId="37" xfId="16" applyNumberFormat="1" applyFont="1" applyFill="1" applyBorder="1" applyAlignment="1">
      <alignment horizontal="center" vertical="center"/>
    </xf>
    <xf numFmtId="169" fontId="54" fillId="0" borderId="38" xfId="16" applyNumberFormat="1" applyFont="1" applyBorder="1" applyAlignment="1">
      <alignment horizontal="left" vertical="center"/>
    </xf>
    <xf numFmtId="169" fontId="10" fillId="5" borderId="29" xfId="16" applyNumberFormat="1" applyFont="1" applyFill="1" applyBorder="1" applyAlignment="1">
      <alignment horizontal="center" vertical="center"/>
    </xf>
    <xf numFmtId="169" fontId="10" fillId="5" borderId="16" xfId="16" applyNumberFormat="1" applyFont="1" applyFill="1" applyBorder="1" applyAlignment="1">
      <alignment horizontal="center" vertical="center"/>
    </xf>
    <xf numFmtId="169" fontId="54" fillId="5" borderId="0" xfId="16" applyNumberFormat="1" applyFont="1" applyFill="1" applyBorder="1" applyAlignment="1">
      <alignment horizontal="centerContinuous" vertical="center"/>
    </xf>
    <xf numFmtId="169" fontId="54" fillId="0" borderId="0" xfId="16" applyNumberFormat="1" applyFont="1" applyBorder="1" applyAlignment="1">
      <alignment horizontal="centerContinuous" vertical="center"/>
    </xf>
    <xf numFmtId="169" fontId="1" fillId="15" borderId="0" xfId="16" applyNumberFormat="1" applyFont="1" applyFill="1" applyBorder="1" applyAlignment="1">
      <alignment vertical="center"/>
    </xf>
    <xf numFmtId="169" fontId="54" fillId="14" borderId="98" xfId="16" applyNumberFormat="1" applyFont="1" applyFill="1" applyBorder="1" applyAlignment="1">
      <alignment horizontal="center" vertical="center"/>
    </xf>
    <xf numFmtId="169" fontId="54" fillId="14" borderId="78" xfId="16" applyNumberFormat="1" applyFont="1" applyFill="1" applyBorder="1" applyAlignment="1">
      <alignment horizontal="left" vertical="center"/>
    </xf>
    <xf numFmtId="169" fontId="1" fillId="14" borderId="78" xfId="16" applyNumberFormat="1" applyFont="1" applyFill="1" applyBorder="1" applyAlignment="1">
      <alignment vertical="center"/>
    </xf>
    <xf numFmtId="169" fontId="54" fillId="14" borderId="52" xfId="16" applyNumberFormat="1" applyFont="1" applyFill="1" applyBorder="1" applyAlignment="1">
      <alignment vertical="center" wrapText="1"/>
    </xf>
    <xf numFmtId="169" fontId="54" fillId="14" borderId="53" xfId="16" applyNumberFormat="1" applyFont="1" applyFill="1" applyBorder="1" applyAlignment="1">
      <alignment vertical="center" wrapText="1"/>
    </xf>
    <xf numFmtId="169" fontId="1" fillId="0" borderId="0" xfId="16" applyNumberFormat="1" applyFont="1" applyBorder="1" applyAlignment="1">
      <alignment horizontal="left" vertical="center"/>
    </xf>
    <xf numFmtId="169" fontId="1" fillId="0" borderId="17" xfId="16" applyNumberFormat="1" applyFont="1" applyBorder="1" applyAlignment="1">
      <alignment horizontal="left" vertical="center"/>
    </xf>
    <xf numFmtId="169" fontId="54" fillId="14" borderId="103" xfId="16" applyNumberFormat="1" applyFont="1" applyFill="1" applyBorder="1" applyAlignment="1">
      <alignment horizontal="center" vertical="center" wrapText="1"/>
    </xf>
    <xf numFmtId="169" fontId="54" fillId="14" borderId="53" xfId="16" applyNumberFormat="1" applyFont="1" applyFill="1" applyBorder="1" applyAlignment="1">
      <alignment horizontal="center" vertical="center" wrapText="1"/>
    </xf>
    <xf numFmtId="169" fontId="54" fillId="14" borderId="104" xfId="16" applyNumberFormat="1" applyFont="1" applyFill="1" applyBorder="1" applyAlignment="1">
      <alignment horizontal="center" vertical="center" wrapText="1"/>
    </xf>
    <xf numFmtId="169" fontId="1" fillId="15" borderId="29" xfId="16" applyNumberFormat="1" applyFont="1" applyFill="1" applyBorder="1" applyAlignment="1">
      <alignment vertical="center"/>
    </xf>
    <xf numFmtId="169" fontId="1" fillId="5" borderId="100" xfId="16" applyNumberFormat="1" applyFont="1" applyFill="1" applyBorder="1" applyAlignment="1">
      <alignment vertical="center"/>
    </xf>
    <xf numFmtId="169" fontId="1" fillId="0" borderId="29" xfId="16" applyNumberFormat="1" applyFont="1" applyFill="1" applyBorder="1" applyAlignment="1">
      <alignment vertical="center"/>
    </xf>
    <xf numFmtId="169" fontId="1" fillId="0" borderId="0" xfId="16" applyNumberFormat="1" applyFont="1" applyFill="1" applyBorder="1" applyAlignment="1">
      <alignment vertical="center"/>
    </xf>
    <xf numFmtId="169" fontId="1" fillId="0" borderId="16" xfId="16" applyNumberFormat="1" applyFont="1" applyFill="1" applyBorder="1" applyAlignment="1">
      <alignment vertical="center"/>
    </xf>
    <xf numFmtId="169" fontId="1" fillId="0" borderId="17" xfId="16" applyNumberFormat="1" applyFont="1" applyFill="1" applyBorder="1" applyAlignment="1">
      <alignment vertical="center"/>
    </xf>
    <xf numFmtId="169" fontId="1" fillId="15" borderId="17" xfId="16" applyNumberFormat="1" applyFont="1" applyFill="1" applyBorder="1" applyAlignment="1">
      <alignment vertical="center"/>
    </xf>
    <xf numFmtId="169" fontId="1" fillId="5" borderId="19" xfId="16" applyNumberFormat="1" applyFont="1" applyFill="1" applyBorder="1" applyAlignment="1">
      <alignment vertical="center"/>
    </xf>
    <xf numFmtId="169" fontId="1" fillId="14" borderId="77" xfId="16" applyNumberFormat="1" applyFont="1" applyFill="1" applyBorder="1" applyAlignment="1">
      <alignment vertical="center"/>
    </xf>
    <xf numFmtId="169" fontId="1" fillId="0" borderId="29" xfId="16" applyNumberFormat="1" applyFont="1" applyBorder="1" applyAlignment="1">
      <alignment vertical="center"/>
    </xf>
    <xf numFmtId="49" fontId="54" fillId="14" borderId="105" xfId="16" applyNumberFormat="1" applyFont="1" applyFill="1" applyBorder="1" applyAlignment="1">
      <alignment horizontal="center" vertical="center" wrapText="1"/>
    </xf>
    <xf numFmtId="169" fontId="54" fillId="14" borderId="106" xfId="16" applyNumberFormat="1" applyFont="1" applyFill="1" applyBorder="1" applyAlignment="1">
      <alignment horizontal="center" vertical="center" wrapText="1"/>
    </xf>
    <xf numFmtId="169" fontId="10" fillId="5" borderId="101" xfId="16" applyNumberFormat="1" applyFont="1" applyFill="1" applyBorder="1" applyAlignment="1">
      <alignment horizontal="center" vertical="center"/>
    </xf>
    <xf numFmtId="169" fontId="1" fillId="5" borderId="107" xfId="16" applyNumberFormat="1" applyFont="1" applyFill="1" applyBorder="1" applyAlignment="1">
      <alignment vertical="center"/>
    </xf>
    <xf numFmtId="169" fontId="10" fillId="5" borderId="102" xfId="16" applyNumberFormat="1" applyFont="1" applyFill="1" applyBorder="1" applyAlignment="1">
      <alignment horizontal="center" vertical="center"/>
    </xf>
    <xf numFmtId="169" fontId="1" fillId="5" borderId="18" xfId="16" applyNumberFormat="1" applyFont="1" applyFill="1" applyBorder="1" applyAlignment="1">
      <alignment vertical="center"/>
    </xf>
    <xf numFmtId="169" fontId="54" fillId="14" borderId="108" xfId="16" applyNumberFormat="1" applyFont="1" applyFill="1" applyBorder="1" applyAlignment="1">
      <alignment vertical="center"/>
    </xf>
    <xf numFmtId="169" fontId="54" fillId="14" borderId="95" xfId="16" applyNumberFormat="1" applyFont="1" applyFill="1" applyBorder="1" applyAlignment="1">
      <alignment vertical="center"/>
    </xf>
    <xf numFmtId="169" fontId="1" fillId="5" borderId="107" xfId="16" applyNumberFormat="1" applyFont="1" applyFill="1" applyBorder="1" applyAlignment="1">
      <alignment horizontal="right" vertical="center"/>
    </xf>
    <xf numFmtId="169" fontId="1" fillId="5" borderId="18" xfId="16" applyNumberFormat="1" applyFont="1" applyFill="1" applyBorder="1" applyAlignment="1">
      <alignment horizontal="right" vertical="center"/>
    </xf>
    <xf numFmtId="10" fontId="1" fillId="0" borderId="34" xfId="7" applyNumberFormat="1" applyFont="1" applyBorder="1" applyAlignment="1">
      <alignment vertical="center"/>
    </xf>
    <xf numFmtId="10" fontId="1" fillId="0" borderId="109" xfId="7" applyNumberFormat="1" applyFont="1" applyBorder="1" applyAlignment="1">
      <alignment vertical="center"/>
    </xf>
    <xf numFmtId="10" fontId="54" fillId="14" borderId="96" xfId="7" applyNumberFormat="1" applyFont="1" applyFill="1" applyBorder="1" applyAlignment="1">
      <alignment vertical="center"/>
    </xf>
    <xf numFmtId="169" fontId="54" fillId="14" borderId="106" xfId="16" applyNumberFormat="1" applyFont="1" applyFill="1" applyBorder="1" applyAlignment="1">
      <alignment horizontal="centerContinuous" vertical="center"/>
    </xf>
    <xf numFmtId="169" fontId="54" fillId="14" borderId="54" xfId="16" applyNumberFormat="1" applyFont="1" applyFill="1" applyBorder="1" applyAlignment="1">
      <alignment horizontal="centerContinuous" vertical="center"/>
    </xf>
    <xf numFmtId="169" fontId="54" fillId="14" borderId="79" xfId="16" applyNumberFormat="1" applyFont="1" applyFill="1" applyBorder="1" applyAlignment="1">
      <alignment vertical="center"/>
    </xf>
    <xf numFmtId="169" fontId="1" fillId="5" borderId="33" xfId="16" applyNumberFormat="1" applyFont="1" applyFill="1" applyBorder="1" applyAlignment="1">
      <alignment horizontal="center" vertical="center"/>
    </xf>
    <xf numFmtId="169" fontId="54" fillId="0" borderId="0" xfId="16" applyNumberFormat="1" applyFont="1" applyBorder="1" applyAlignment="1">
      <alignment horizontal="left" vertical="center"/>
    </xf>
    <xf numFmtId="169" fontId="54" fillId="14" borderId="110" xfId="16" applyNumberFormat="1" applyFont="1" applyFill="1" applyBorder="1" applyAlignment="1">
      <alignment horizontal="center" vertical="center"/>
    </xf>
    <xf numFmtId="169" fontId="54" fillId="14" borderId="111" xfId="16" applyNumberFormat="1" applyFont="1" applyFill="1" applyBorder="1" applyAlignment="1">
      <alignment vertical="center"/>
    </xf>
    <xf numFmtId="169" fontId="1" fillId="14" borderId="44" xfId="16" applyNumberFormat="1" applyFont="1" applyFill="1" applyBorder="1" applyAlignment="1">
      <alignment horizontal="left" vertical="center"/>
    </xf>
    <xf numFmtId="10" fontId="54" fillId="14" borderId="45" xfId="7" applyNumberFormat="1" applyFont="1" applyFill="1" applyBorder="1" applyAlignment="1">
      <alignment vertical="center"/>
    </xf>
    <xf numFmtId="169" fontId="54" fillId="14" borderId="99" xfId="16" applyNumberFormat="1" applyFont="1" applyFill="1" applyBorder="1" applyAlignment="1">
      <alignment horizontal="left" vertical="center"/>
    </xf>
    <xf numFmtId="169" fontId="54" fillId="14" borderId="112" xfId="16" applyNumberFormat="1" applyFont="1" applyFill="1" applyBorder="1" applyAlignment="1">
      <alignment vertical="center"/>
    </xf>
    <xf numFmtId="169" fontId="54" fillId="5" borderId="38" xfId="16" applyNumberFormat="1" applyFont="1" applyFill="1" applyBorder="1" applyAlignment="1">
      <alignment vertical="center"/>
    </xf>
    <xf numFmtId="169" fontId="54" fillId="5" borderId="34" xfId="16" applyNumberFormat="1" applyFont="1" applyFill="1" applyBorder="1" applyAlignment="1">
      <alignment vertical="center"/>
    </xf>
    <xf numFmtId="169" fontId="54" fillId="5" borderId="42" xfId="16" applyNumberFormat="1" applyFont="1" applyFill="1" applyBorder="1" applyAlignment="1">
      <alignment vertical="center"/>
    </xf>
    <xf numFmtId="169" fontId="54" fillId="5" borderId="29" xfId="16" applyNumberFormat="1" applyFont="1" applyFill="1" applyBorder="1" applyAlignment="1">
      <alignment vertical="center"/>
    </xf>
    <xf numFmtId="10" fontId="1" fillId="5" borderId="46" xfId="7" applyNumberFormat="1" applyFont="1" applyFill="1" applyBorder="1" applyAlignment="1">
      <alignment vertical="center"/>
    </xf>
    <xf numFmtId="10" fontId="1" fillId="5" borderId="45" xfId="7" applyNumberFormat="1" applyFont="1" applyFill="1" applyBorder="1" applyAlignment="1">
      <alignment vertical="center"/>
    </xf>
    <xf numFmtId="169" fontId="1" fillId="5" borderId="45" xfId="16" applyNumberFormat="1" applyFont="1" applyFill="1" applyBorder="1" applyAlignment="1">
      <alignment vertical="center"/>
    </xf>
    <xf numFmtId="169" fontId="1" fillId="5" borderId="47" xfId="16" applyNumberFormat="1" applyFont="1" applyFill="1" applyBorder="1" applyAlignment="1">
      <alignment vertical="center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44" fontId="6" fillId="0" borderId="5" xfId="10" applyFont="1" applyFill="1" applyBorder="1" applyAlignment="1">
      <alignment horizontal="center" vertical="center" wrapText="1"/>
    </xf>
    <xf numFmtId="44" fontId="6" fillId="0" borderId="5" xfId="10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 horizontal="center" vertical="center"/>
    </xf>
    <xf numFmtId="7" fontId="4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45" fillId="2" borderId="83" xfId="1" applyFont="1" applyFill="1" applyBorder="1" applyAlignment="1">
      <alignment horizontal="center" vertical="center"/>
    </xf>
    <xf numFmtId="43" fontId="45" fillId="2" borderId="84" xfId="1" applyFont="1" applyFill="1" applyBorder="1" applyAlignment="1">
      <alignment horizontal="center" vertical="center"/>
    </xf>
    <xf numFmtId="0" fontId="45" fillId="2" borderId="82" xfId="0" applyFont="1" applyFill="1" applyBorder="1" applyAlignment="1">
      <alignment horizontal="center" vertical="center"/>
    </xf>
    <xf numFmtId="0" fontId="45" fillId="2" borderId="85" xfId="0" applyFont="1" applyFill="1" applyBorder="1" applyAlignment="1">
      <alignment horizontal="center" vertical="center"/>
    </xf>
    <xf numFmtId="0" fontId="45" fillId="2" borderId="83" xfId="0" applyFont="1" applyFill="1" applyBorder="1" applyAlignment="1">
      <alignment horizontal="center" vertical="center"/>
    </xf>
    <xf numFmtId="0" fontId="45" fillId="2" borderId="86" xfId="0" applyFont="1" applyFill="1" applyBorder="1" applyAlignment="1">
      <alignment horizontal="center" vertical="center"/>
    </xf>
    <xf numFmtId="0" fontId="45" fillId="2" borderId="83" xfId="0" applyFont="1" applyFill="1" applyBorder="1" applyAlignment="1">
      <alignment horizontal="left" vertical="center"/>
    </xf>
    <xf numFmtId="0" fontId="45" fillId="2" borderId="86" xfId="0" applyFont="1" applyFill="1" applyBorder="1" applyAlignment="1">
      <alignment horizontal="left" vertical="center"/>
    </xf>
    <xf numFmtId="3" fontId="45" fillId="2" borderId="83" xfId="0" applyNumberFormat="1" applyFont="1" applyFill="1" applyBorder="1" applyAlignment="1">
      <alignment horizontal="center" vertical="center"/>
    </xf>
    <xf numFmtId="3" fontId="45" fillId="2" borderId="86" xfId="0" applyNumberFormat="1" applyFont="1" applyFill="1" applyBorder="1" applyAlignment="1">
      <alignment horizontal="center" vertical="center"/>
    </xf>
    <xf numFmtId="43" fontId="45" fillId="2" borderId="83" xfId="0" applyNumberFormat="1" applyFont="1" applyFill="1" applyBorder="1" applyAlignment="1">
      <alignment horizontal="center" vertical="center"/>
    </xf>
    <xf numFmtId="43" fontId="45" fillId="2" borderId="86" xfId="0" applyNumberFormat="1" applyFont="1" applyFill="1" applyBorder="1" applyAlignment="1">
      <alignment horizontal="center" vertical="center"/>
    </xf>
    <xf numFmtId="0" fontId="26" fillId="0" borderId="33" xfId="13" applyFont="1" applyBorder="1" applyAlignment="1">
      <alignment horizontal="center" vertical="center" wrapText="1"/>
    </xf>
    <xf numFmtId="0" fontId="26" fillId="0" borderId="0" xfId="13" applyFont="1" applyAlignment="1">
      <alignment horizontal="center" vertical="center" wrapText="1"/>
    </xf>
    <xf numFmtId="0" fontId="26" fillId="0" borderId="34" xfId="13" applyFont="1" applyBorder="1" applyAlignment="1">
      <alignment horizontal="center" vertical="center" wrapText="1"/>
    </xf>
    <xf numFmtId="49" fontId="28" fillId="0" borderId="35" xfId="13" applyNumberFormat="1" applyFont="1" applyBorder="1" applyAlignment="1">
      <alignment horizontal="left" vertical="justify"/>
    </xf>
    <xf numFmtId="49" fontId="28" fillId="0" borderId="25" xfId="13" applyNumberFormat="1" applyFont="1" applyBorder="1" applyAlignment="1">
      <alignment horizontal="left" vertical="justify"/>
    </xf>
    <xf numFmtId="49" fontId="28" fillId="0" borderId="39" xfId="13" applyNumberFormat="1" applyFont="1" applyBorder="1" applyAlignment="1">
      <alignment horizontal="left" vertical="justify"/>
    </xf>
    <xf numFmtId="0" fontId="28" fillId="0" borderId="33" xfId="13" applyFont="1" applyBorder="1" applyAlignment="1">
      <alignment horizontal="left" wrapText="1"/>
    </xf>
    <xf numFmtId="0" fontId="28" fillId="0" borderId="0" xfId="13" applyFont="1" applyAlignment="1">
      <alignment horizontal="left" wrapText="1"/>
    </xf>
    <xf numFmtId="0" fontId="28" fillId="0" borderId="34" xfId="13" applyFont="1" applyBorder="1" applyAlignment="1">
      <alignment horizontal="left" wrapText="1"/>
    </xf>
    <xf numFmtId="0" fontId="31" fillId="0" borderId="44" xfId="13" applyFont="1" applyBorder="1" applyAlignment="1">
      <alignment horizontal="left"/>
    </xf>
    <xf numFmtId="0" fontId="31" fillId="0" borderId="45" xfId="13" applyFont="1" applyBorder="1" applyAlignment="1">
      <alignment horizontal="left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20" fillId="3" borderId="33" xfId="11" applyFont="1" applyFill="1" applyBorder="1" applyAlignment="1" applyProtection="1">
      <alignment horizontal="center" vertical="center" wrapText="1"/>
      <protection locked="0"/>
    </xf>
    <xf numFmtId="0" fontId="20" fillId="3" borderId="0" xfId="11" applyFont="1" applyFill="1" applyAlignment="1" applyProtection="1">
      <alignment horizontal="center" vertical="center" wrapText="1"/>
      <protection locked="0"/>
    </xf>
    <xf numFmtId="0" fontId="20" fillId="3" borderId="34" xfId="11" applyFont="1" applyFill="1" applyBorder="1" applyAlignment="1" applyProtection="1">
      <alignment horizontal="center" vertical="center" wrapText="1"/>
      <protection locked="0"/>
    </xf>
    <xf numFmtId="0" fontId="38" fillId="0" borderId="75" xfId="11" applyFont="1" applyBorder="1" applyAlignment="1" applyProtection="1">
      <alignment horizontal="center" vertical="center" wrapText="1"/>
      <protection locked="0"/>
    </xf>
    <xf numFmtId="0" fontId="38" fillId="0" borderId="70" xfId="11" applyFont="1" applyBorder="1" applyAlignment="1" applyProtection="1">
      <alignment horizontal="center" vertical="center" wrapText="1"/>
      <protection locked="0"/>
    </xf>
    <xf numFmtId="0" fontId="21" fillId="0" borderId="42" xfId="11" applyFont="1" applyBorder="1" applyAlignment="1" applyProtection="1">
      <alignment horizontal="left" vertical="center" wrapText="1"/>
      <protection locked="0"/>
    </xf>
    <xf numFmtId="0" fontId="21" fillId="0" borderId="38" xfId="11" applyFont="1" applyBorder="1" applyAlignment="1" applyProtection="1">
      <alignment horizontal="left" vertical="center" wrapText="1"/>
      <protection locked="0"/>
    </xf>
    <xf numFmtId="0" fontId="21" fillId="0" borderId="41" xfId="11" applyFont="1" applyBorder="1" applyAlignment="1" applyProtection="1">
      <alignment horizontal="left" vertical="center" wrapText="1"/>
      <protection locked="0"/>
    </xf>
    <xf numFmtId="0" fontId="21" fillId="0" borderId="77" xfId="11" applyFont="1" applyBorder="1" applyAlignment="1" applyProtection="1">
      <alignment horizontal="left" vertical="center" wrapText="1"/>
      <protection locked="0"/>
    </xf>
    <xf numFmtId="0" fontId="21" fillId="0" borderId="78" xfId="11" applyFont="1" applyBorder="1" applyAlignment="1" applyProtection="1">
      <alignment horizontal="left" vertical="center" wrapText="1"/>
      <protection locked="0"/>
    </xf>
    <xf numFmtId="0" fontId="21" fillId="0" borderId="79" xfId="11" applyFont="1" applyBorder="1" applyAlignment="1" applyProtection="1">
      <alignment horizontal="left" vertical="center" wrapText="1"/>
      <protection locked="0"/>
    </xf>
    <xf numFmtId="0" fontId="21" fillId="0" borderId="24" xfId="11" applyFont="1" applyBorder="1" applyAlignment="1" applyProtection="1">
      <alignment horizontal="center" vertical="center" wrapText="1"/>
      <protection locked="0"/>
    </xf>
    <xf numFmtId="0" fontId="21" fillId="0" borderId="40" xfId="11" applyFont="1" applyBorder="1" applyAlignment="1" applyProtection="1">
      <alignment horizontal="center" vertical="center" wrapText="1"/>
      <protection locked="0"/>
    </xf>
    <xf numFmtId="0" fontId="21" fillId="0" borderId="27" xfId="11" applyFont="1" applyBorder="1" applyAlignment="1" applyProtection="1">
      <alignment horizontal="center" vertical="center" wrapText="1"/>
      <protection locked="0"/>
    </xf>
    <xf numFmtId="0" fontId="21" fillId="0" borderId="28" xfId="11" applyFont="1" applyBorder="1" applyAlignment="1" applyProtection="1">
      <alignment horizontal="center" vertical="center" wrapText="1"/>
      <protection locked="0"/>
    </xf>
    <xf numFmtId="167" fontId="39" fillId="0" borderId="76" xfId="11" applyNumberFormat="1" applyFont="1" applyBorder="1" applyAlignment="1" applyProtection="1">
      <alignment horizontal="center" vertical="center" wrapText="1"/>
      <protection locked="0"/>
    </xf>
    <xf numFmtId="167" fontId="39" fillId="0" borderId="71" xfId="11" applyNumberFormat="1" applyFont="1" applyBorder="1" applyAlignment="1" applyProtection="1">
      <alignment horizontal="center" vertical="center" wrapText="1"/>
      <protection locked="0"/>
    </xf>
    <xf numFmtId="0" fontId="21" fillId="0" borderId="26" xfId="11" applyFont="1" applyBorder="1" applyAlignment="1" applyProtection="1">
      <alignment horizontal="center" vertical="center" wrapText="1"/>
      <protection locked="0"/>
    </xf>
    <xf numFmtId="0" fontId="24" fillId="0" borderId="48" xfId="0" applyFont="1" applyBorder="1" applyAlignment="1" applyProtection="1">
      <alignment horizontal="left" vertical="top" wrapText="1"/>
      <protection locked="0"/>
    </xf>
    <xf numFmtId="0" fontId="24" fillId="0" borderId="26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>
      <alignment horizontal="center" vertical="top"/>
    </xf>
    <xf numFmtId="0" fontId="24" fillId="0" borderId="38" xfId="0" applyFont="1" applyBorder="1" applyAlignment="1">
      <alignment horizontal="center" vertical="top"/>
    </xf>
    <xf numFmtId="0" fontId="24" fillId="0" borderId="43" xfId="0" applyFont="1" applyBorder="1" applyAlignment="1">
      <alignment horizontal="center" vertical="top"/>
    </xf>
    <xf numFmtId="0" fontId="24" fillId="0" borderId="29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34" xfId="0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top"/>
    </xf>
    <xf numFmtId="0" fontId="24" fillId="0" borderId="45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top"/>
    </xf>
    <xf numFmtId="0" fontId="24" fillId="0" borderId="49" xfId="0" applyFont="1" applyBorder="1" applyAlignment="1" applyProtection="1">
      <alignment horizontal="left" vertical="top" wrapText="1"/>
      <protection locked="0"/>
    </xf>
    <xf numFmtId="0" fontId="24" fillId="0" borderId="50" xfId="0" applyFont="1" applyBorder="1" applyAlignment="1" applyProtection="1">
      <alignment horizontal="left" vertical="top" wrapText="1"/>
      <protection locked="0"/>
    </xf>
    <xf numFmtId="0" fontId="21" fillId="0" borderId="26" xfId="11" applyFont="1" applyBorder="1" applyAlignment="1" applyProtection="1">
      <alignment horizontal="left" vertical="center" wrapText="1"/>
      <protection locked="0"/>
    </xf>
    <xf numFmtId="0" fontId="41" fillId="0" borderId="48" xfId="11" applyFont="1" applyBorder="1" applyAlignment="1" applyProtection="1">
      <alignment horizontal="center" vertical="center" wrapText="1"/>
      <protection locked="0"/>
    </xf>
    <xf numFmtId="0" fontId="41" fillId="0" borderId="26" xfId="11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23" fillId="3" borderId="48" xfId="0" applyFont="1" applyFill="1" applyBorder="1" applyAlignment="1">
      <alignment horizontal="left" vertical="top" wrapText="1"/>
    </xf>
    <xf numFmtId="0" fontId="23" fillId="3" borderId="26" xfId="0" applyFont="1" applyFill="1" applyBorder="1" applyAlignment="1">
      <alignment horizontal="left" vertical="top" wrapText="1"/>
    </xf>
    <xf numFmtId="0" fontId="23" fillId="3" borderId="24" xfId="0" applyFont="1" applyFill="1" applyBorder="1" applyAlignment="1">
      <alignment horizontal="center" vertical="top" wrapText="1"/>
    </xf>
    <xf numFmtId="0" fontId="23" fillId="3" borderId="25" xfId="0" applyFont="1" applyFill="1" applyBorder="1" applyAlignment="1">
      <alignment horizontal="center" vertical="top" wrapText="1"/>
    </xf>
    <xf numFmtId="0" fontId="23" fillId="3" borderId="39" xfId="0" applyFont="1" applyFill="1" applyBorder="1" applyAlignment="1">
      <alignment horizontal="center" vertical="top" wrapText="1"/>
    </xf>
    <xf numFmtId="0" fontId="37" fillId="6" borderId="26" xfId="0" applyFont="1" applyFill="1" applyBorder="1" applyAlignment="1">
      <alignment horizontal="left" vertical="center" wrapText="1"/>
    </xf>
    <xf numFmtId="0" fontId="32" fillId="3" borderId="52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54" xfId="0" applyFont="1" applyFill="1" applyBorder="1" applyAlignment="1">
      <alignment horizontal="center" vertical="center" wrapText="1"/>
    </xf>
    <xf numFmtId="0" fontId="33" fillId="8" borderId="52" xfId="0" applyFont="1" applyFill="1" applyBorder="1" applyAlignment="1">
      <alignment horizontal="center" vertical="center"/>
    </xf>
    <xf numFmtId="0" fontId="33" fillId="8" borderId="53" xfId="0" applyFont="1" applyFill="1" applyBorder="1" applyAlignment="1">
      <alignment horizontal="center" vertical="center"/>
    </xf>
    <xf numFmtId="49" fontId="33" fillId="8" borderId="53" xfId="0" applyNumberFormat="1" applyFont="1" applyFill="1" applyBorder="1" applyAlignment="1" applyProtection="1">
      <alignment horizontal="center" vertical="center"/>
      <protection locked="0"/>
    </xf>
    <xf numFmtId="49" fontId="33" fillId="8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34" fillId="7" borderId="48" xfId="0" applyFont="1" applyFill="1" applyBorder="1" applyAlignment="1">
      <alignment horizontal="center" vertical="center"/>
    </xf>
    <xf numFmtId="0" fontId="34" fillId="7" borderId="49" xfId="0" applyFont="1" applyFill="1" applyBorder="1" applyAlignment="1">
      <alignment horizontal="center" vertical="center"/>
    </xf>
    <xf numFmtId="0" fontId="35" fillId="7" borderId="26" xfId="0" applyFont="1" applyFill="1" applyBorder="1" applyAlignment="1">
      <alignment horizontal="center" vertical="center"/>
    </xf>
    <xf numFmtId="0" fontId="35" fillId="7" borderId="50" xfId="0" applyFont="1" applyFill="1" applyBorder="1" applyAlignment="1">
      <alignment horizontal="center" vertical="center"/>
    </xf>
    <xf numFmtId="0" fontId="35" fillId="7" borderId="24" xfId="0" applyFont="1" applyFill="1" applyBorder="1" applyAlignment="1">
      <alignment horizontal="center" vertical="center"/>
    </xf>
    <xf numFmtId="0" fontId="35" fillId="7" borderId="40" xfId="0" applyFont="1" applyFill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center"/>
    </xf>
    <xf numFmtId="0" fontId="36" fillId="10" borderId="58" xfId="0" applyFont="1" applyFill="1" applyBorder="1" applyAlignment="1">
      <alignment horizontal="center" vertical="center"/>
    </xf>
    <xf numFmtId="0" fontId="36" fillId="10" borderId="59" xfId="0" applyFont="1" applyFill="1" applyBorder="1" applyAlignment="1">
      <alignment horizontal="center" vertical="center"/>
    </xf>
    <xf numFmtId="0" fontId="36" fillId="10" borderId="60" xfId="0" applyFont="1" applyFill="1" applyBorder="1" applyAlignment="1">
      <alignment horizontal="center" vertical="center"/>
    </xf>
    <xf numFmtId="0" fontId="37" fillId="6" borderId="62" xfId="0" applyFont="1" applyFill="1" applyBorder="1" applyAlignment="1">
      <alignment horizontal="left" vertical="center" wrapText="1"/>
    </xf>
    <xf numFmtId="0" fontId="37" fillId="6" borderId="65" xfId="0" applyFont="1" applyFill="1" applyBorder="1" applyAlignment="1">
      <alignment horizontal="left" vertical="center" wrapText="1"/>
    </xf>
    <xf numFmtId="0" fontId="36" fillId="7" borderId="68" xfId="0" applyFont="1" applyFill="1" applyBorder="1" applyAlignment="1">
      <alignment horizontal="left" vertical="center" wrapText="1"/>
    </xf>
    <xf numFmtId="0" fontId="36" fillId="3" borderId="58" xfId="0" applyFont="1" applyFill="1" applyBorder="1" applyAlignment="1">
      <alignment horizontal="center" vertical="center"/>
    </xf>
    <xf numFmtId="0" fontId="36" fillId="3" borderId="59" xfId="0" applyFont="1" applyFill="1" applyBorder="1" applyAlignment="1">
      <alignment horizontal="center" vertical="center"/>
    </xf>
    <xf numFmtId="0" fontId="36" fillId="3" borderId="60" xfId="0" applyFont="1" applyFill="1" applyBorder="1" applyAlignment="1">
      <alignment horizontal="center" vertical="center"/>
    </xf>
    <xf numFmtId="0" fontId="36" fillId="7" borderId="28" xfId="0" applyFont="1" applyFill="1" applyBorder="1" applyAlignment="1">
      <alignment horizontal="left" vertical="center" wrapText="1"/>
    </xf>
    <xf numFmtId="0" fontId="36" fillId="3" borderId="72" xfId="0" applyFont="1" applyFill="1" applyBorder="1" applyAlignment="1">
      <alignment horizontal="center" vertical="center" wrapText="1"/>
    </xf>
    <xf numFmtId="0" fontId="36" fillId="3" borderId="73" xfId="0" applyFont="1" applyFill="1" applyBorder="1" applyAlignment="1">
      <alignment horizontal="center" vertical="center" wrapText="1"/>
    </xf>
    <xf numFmtId="0" fontId="36" fillId="3" borderId="74" xfId="0" applyFont="1" applyFill="1" applyBorder="1" applyAlignment="1">
      <alignment horizontal="center" vertical="center" wrapText="1"/>
    </xf>
  </cellXfs>
  <cellStyles count="17">
    <cellStyle name="Moeda" xfId="10" builtinId="4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1" xr:uid="{00000000-0005-0000-0000-000005000000}"/>
    <cellStyle name="Normal 4" xfId="13" xr:uid="{00000000-0005-0000-0000-000006000000}"/>
    <cellStyle name="Normal 5" xfId="4" xr:uid="{00000000-0005-0000-0000-000007000000}"/>
    <cellStyle name="Porcentagem" xfId="7" builtinId="5"/>
    <cellStyle name="Porcentagem 2" xfId="15" xr:uid="{00000000-0005-0000-0000-000009000000}"/>
    <cellStyle name="Separador de milhares 2" xfId="16" xr:uid="{00000000-0005-0000-0000-00000A000000}"/>
    <cellStyle name="Separador de milhares 3" xfId="5" xr:uid="{00000000-0005-0000-0000-00000B000000}"/>
    <cellStyle name="Separador de milhares 3 2" xfId="9" xr:uid="{00000000-0005-0000-0000-00000C000000}"/>
    <cellStyle name="Vírgula" xfId="1" builtinId="3"/>
    <cellStyle name="Vírgula 2" xfId="3" xr:uid="{00000000-0005-0000-0000-00000E000000}"/>
    <cellStyle name="Vírgula 2 2" xfId="14" xr:uid="{00000000-0005-0000-0000-00000F000000}"/>
    <cellStyle name="Vírgula 4" xfId="6" xr:uid="{00000000-0005-0000-0000-000010000000}"/>
    <cellStyle name="Vírgula 4 2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201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201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8D9C3CA-8DC8-4507-B999-185C59823202}"/>
            </a:ext>
          </a:extLst>
        </xdr:cNvPr>
        <xdr:cNvSpPr txBox="1"/>
      </xdr:nvSpPr>
      <xdr:spPr>
        <a:xfrm>
          <a:off x="10225896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C68D39A-2A8F-4BDC-B84C-5E4163FC60D1}"/>
            </a:ext>
          </a:extLst>
        </xdr:cNvPr>
        <xdr:cNvSpPr txBox="1"/>
      </xdr:nvSpPr>
      <xdr:spPr>
        <a:xfrm>
          <a:off x="10225896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80F294C-AECF-4B66-9A8E-E3E9D4271E4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D0FE169-EFFD-40F4-8508-CEF435E8D459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D656DB3-0315-4F28-A538-0D907323EEE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F026390C-44D1-4069-B358-0C8D2E7A00A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A118BB70-AEE6-4406-ABDE-7E163434ED5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7874D8C-9B6C-44C4-9F85-7734B03FA2B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F293BFCE-1B9F-4342-9F16-452D5FE53BD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36016D10-B243-4CC2-A4EE-E27110E0A70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64D08287-7F8E-41BD-A51B-120439ABB9E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ABE98778-D8A6-463C-8FE6-2A835757E12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9AC95C5D-5C0C-480F-A852-C1A111CE6B1A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4A9023E6-ABA8-4861-AD4F-74FB239AD05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3AF60B12-7C84-4EBD-9BED-7893B2817E7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8AE93464-E539-4873-BBC8-19874B0835F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A5082D49-AAA5-4E14-BCEF-D7485678BFDA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3D09D7C0-EBEF-4382-B173-D9807E7D0D2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B7F8892B-5E88-49E9-9CCA-E7DBCC65D03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8147B96C-853F-4685-82B9-533C4635315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104C562E-7BEF-42B0-8C13-0F332EA3007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CBC6B3B3-BBE4-4967-AD16-EDB00F13A68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9E183748-A4F1-48C6-A911-F5763CF3BF7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843867AB-87B9-45C1-AB92-2C19E1B5164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22010748-9A5F-4E80-B945-BEEABD807F5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3162480D-B98B-4C7C-A49A-AD1F80338337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B35094D6-C214-40C2-ABAE-CCE912EFE247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BC4B8B00-09EC-4C41-9017-8850896C2E4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759C5961-426B-4890-A76C-D8080976D6B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AEDE78A4-7138-4A70-8FDC-14549A9415E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E7DF1AE1-07DF-4333-AADE-98762C218E9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7FE46868-A61B-4D10-9DAB-1A9CC69ABB3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2780A462-164E-47E0-BC34-7220E68F2F6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6CC977DD-F873-4AFA-90F1-DDFC3D85000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7520B27-2463-4A2E-8EDA-EF8DA4E09B6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CBD465B2-D4FB-4EFD-A4E2-134788CAB45A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35C7994-71A0-4DCA-8D5E-7B3A486FAE1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5DA007FE-808E-4A35-8BD9-2F1A1B8DB6E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7DF45780-A897-4772-89A4-4D52AE58C96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D192EE35-926F-4E2F-B363-A7FCF37E1A1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58455204-01DB-458B-AE1F-D58A6904956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2F24A13A-A3E0-45E3-AFCE-B41240B7673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D442E57-89AA-45E8-A7EA-05903FAA8A8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5EA40580-2BD7-4B9F-83C1-434EDECAE49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6631F43B-0902-4451-AE4C-AD33AC2389F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D7F733F1-A64C-4697-8037-C69113DA93B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5638FE83-2548-4715-86AC-39CEF5BBE2E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1C3CF49-9795-4E4D-AE3E-67493D59127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A4A665F-9069-4CE9-9ECF-5A887B5440B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DF0F32BA-10D0-430B-AEBA-EF6CB2F42639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8CCB7034-98B5-48C1-B986-C8692CF7F7E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F3C8EBA5-B5B8-4E91-84CD-5444412ED4C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1845BF9C-E760-46E6-B36C-5EC844E14BC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8030302D-B916-4C67-9718-6EC009ACFED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4140CDB5-E0AA-46A4-A682-7006408943A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19E3954B-8E91-45B3-A496-8F387DB41969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4FFC9375-12DA-45DD-9A40-325B7C7D3247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4F90B58C-5EBB-47DA-8EC9-A0A6C7383D9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DCAC2F4-6DF7-49DC-94CE-CF4ED5110DE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70AE86E8-6422-4418-BB54-B81B8F55BFD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5A1D10C3-DBAC-4B7F-9661-14969BDC720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8C6EA2B-F319-4567-839B-6640225E0F5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3816A3AD-D0DE-42E8-B4F5-DDE0368BB17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FD99544E-F78C-4140-958A-8BEE61E896E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4E8E627B-F6B0-4568-9213-9964AB0BEB8A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60490003-A2A1-40F9-87AE-FDBB9B891D8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16ECE765-BA0B-4B4B-8481-B5598484648A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64F73601-4A84-4720-94F1-CC97514833D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2F5A4AC9-47EA-4F6B-87BF-323E288232C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3BA628D5-B7D0-4CC9-A621-D2D1BA8F7C5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713BAE7B-8911-4262-A19E-A5010041FF9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4EE3E519-07C3-42BF-BF3A-3CB2435C972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564425F6-D5F9-4DD7-ABF4-28AF53728F0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26A1C6CA-A993-45A9-9452-36C77C813A4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F9E6B260-5708-42FE-B64A-27B0710E2349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60E6C14F-F29B-4830-9679-E85F4DB8ED0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572B662F-F6D8-4A62-8442-0650E85CB749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816096E9-A369-4A14-B7D0-16C5F47F2817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1B41AC40-38EA-4DD6-B4BD-47256966EBF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E9292681-7409-423E-B135-E62FC594669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A59C1AC5-44CA-49D4-B9A3-6B688320E59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6D3AB89E-826E-453E-8FA1-407F2EBC9C5A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1C70A9D7-C47E-4D97-9E9E-E3257159DC4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594F4BF8-8E5D-4935-B9A3-AF9251DA548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C061BE4-0303-4C72-88AB-69E92628BB8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ACB6D965-7C0F-4748-A5AD-3D5080F1C47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30465D1B-5A6B-4BB8-A6B3-6ADE557E578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9B369D7B-72D5-4E57-ABED-A98C5799791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2C7446C4-00F9-432B-B5F1-8209FE7DB0A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FC888B3D-3A3A-4CFD-91F5-3E0886AA359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B665E978-DF4F-4317-941F-716277CC619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78D6E873-6057-4233-82ED-7E4D0EF709D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B658FEF1-4282-4F5A-B3CD-EF595E38521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EE0440A-7BC2-4E3A-A9E9-C5662F28834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CE89D7FF-286E-42E5-9737-10C43E953CC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C79B4743-3919-40D5-8094-977580500B7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E35D3350-C5AD-4288-8739-D503F72E86A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A694819-5B7D-4507-BC37-A1148833178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E92F41D9-C49F-427A-970E-D26CB9D90B8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1F06EF22-F5B4-43AE-8889-66B5EE93300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2B844FC6-9712-4684-8A1E-8E9474A856E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3218D9B8-D68F-467D-B190-7265355BC54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9E3E6B68-67AA-402E-9F6B-1901A43491E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6DADAE7-0EDD-4271-B828-148E328D533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FEB9EA0-0C7B-4CE3-8A59-5C047B0A6C1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3BF1E5C4-3121-44BD-A092-478A8B1CD8F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93C7DF21-2C1D-4A50-B8D6-1D3B208A0EB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4231481C-C56E-4FE5-91E6-DBB4BB43CBF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C1A77897-FFAE-49AA-9D68-4F7B92AE2B8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1A82E41-BD2F-41B6-A59C-094653F4C3E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27651889-5DE9-4F4B-8809-73C2EAFA8CB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21102864-2A8D-4730-88AD-8C312B7E4B4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61817324-CD2B-48AA-B8B7-E947519C1FB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8DE40BEB-A93F-497B-B34F-3AF1D10C472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351532DB-5562-4E79-90C9-75C7B4F0EE1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8ADA240B-DD63-4F18-83E2-D8FC74EB206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FCED2A28-6B7C-4B98-85CB-1872E40C71B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CF9A1E57-6408-4E5B-93B0-0C2D003B159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CBAA454F-B6B0-43E8-A916-E3B4BF5F3C1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E8B1325B-750F-489E-B737-F6EDB9447A8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9CDF77D1-4593-41D1-A5A7-7BDA6DBEC98A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9ECBF4C2-46FC-4928-A964-025DEB09672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BD0F5170-E732-4C80-9AFD-F5120DF6D43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F0F3737C-3CE5-454C-83F1-63EE699EDE99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97E08AC8-FD17-4F39-B58A-DD850820999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FD61DF4A-C92E-4702-980F-56058E813BF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2976E2A5-FD36-4EEA-BF2E-B76B76E3022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DECC6F64-BDEE-41B4-801E-0C0BB1F430B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40E77F48-A387-4009-B213-60E3D3B9631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6CDAD7EA-A120-4312-9D75-32404C768EA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87FA06E3-213F-4E28-8C54-328AAAC0DE8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42388ADB-1DE1-4153-9C53-7B88B6F05E7A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6B184328-CFAD-4AF4-A250-FD03CBE52B0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FC70D242-BA2F-41FB-B868-2C8CF6122EC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DC662206-884D-44BF-9366-DC56BAB48C5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741B622B-4F6E-47EC-94B9-B5C8C82D337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3057415F-6BD8-40AB-8FE6-CC17404A160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4A01C9B0-3C08-433B-84A3-E224A2B2E64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A954DCD-A7F2-405D-92E5-A48EB8FB7AF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51822579-B73E-446D-83E2-63EEE5E2F4A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7EBA6AE8-82A3-4709-97A7-64BFAAC15FB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2AA356E-1FD3-4349-94DD-5AE2C063E2B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D194167F-CFCB-4572-BDF1-5C383EF1AA5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720B9B0D-F262-46E9-90D5-7807757B8BE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2E367F9B-6B28-415C-BB4E-15663F34B5C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4F5F78FD-CF96-4480-9F20-8B5D671B252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A760F4A2-CF57-4337-A844-015CD4363E9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B017F5F8-6459-4BDA-B956-4E2D2E788E8E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8228C564-38C0-41E5-81C6-021FE32B265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5C51CB1B-F2C6-4E72-841C-DCCD44E81E5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816BC339-06B1-418A-963F-8FA79510D3F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D0605ACF-DE70-48A2-84EE-F36280F9989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75D27F75-CF96-4488-A2D3-D3E1E139FEE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7D21C1F1-35D9-4E46-AED2-5218E0B11597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B310668A-E573-45A3-BE55-A0EB7172CC5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2AB5DA31-02A1-495D-B532-7C8DE2D0368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B9038C6A-45D6-423C-AF71-AF3AD43BB13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866157E5-8549-4563-B295-64F905BD259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4B41FD5E-DE8D-48A7-8C65-34053FDC968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39333EE1-F35D-4A4A-B7CA-082AE333FB1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FE6DD27A-2915-4398-A49A-30516DE34E2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5607B4C5-690E-4337-A0D6-D6B467A3267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93C21854-76A0-4962-B3FC-3E0F4FC56EC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78929390-2ADC-4196-8C50-BFA83452C99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F31ACDFA-52C2-4793-B93C-E9D8D9A0182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226B3762-6F9E-4787-A2F0-C2316A078547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4E9E9E5D-5061-4548-8C0F-7BD759DDA8D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AB87F95-773C-4551-BD0B-2D2CFD5A7DE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9321780E-C42A-4235-B4B9-19F43027D15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1DC4BEE1-2C62-44EE-B4B6-D837311E3E3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B2AAA5AC-994F-487F-A1BB-31A42A2B28D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D317AC4C-9A81-46B5-9A28-39513D75CA42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E2196826-A546-4F58-9F2F-00707CF184C8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55FCD5C5-219E-4C8C-B47A-E67BB03D3E4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2ABA1F90-EC00-4A04-A443-3DA754015A3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EC952390-DAB7-407E-ACF2-CCAF02CF5E9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B2F7C044-AE6D-4FD3-9278-3E7CD8B5D7F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D29357A7-9832-4EBD-B7E4-853F4E0F37F1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AC3728DB-F577-4CC9-A1BB-FBB72EC989B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6DEA5600-58CA-4ED7-A0F4-EA329C8FE245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DB621F74-CCE4-48D9-BDCC-269937DDBCD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FDBB5DA8-0AFD-4483-B7D9-3A5633FF6DA4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270DC251-19E0-4A6A-AE3F-3511F9B38C53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BC123C52-DB93-4C93-9EF3-547A2FF35E20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DF1AF5C4-B817-4003-A41E-70A4DF725777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EC099C9B-B991-4ECD-8B4B-F43980829D4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42D5AA78-6540-4DBC-8F6E-187EE9F0E73B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7B80F459-8C53-438A-BEDD-37A51B79677F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D8633CD6-A25E-4FF9-89C5-550E95313E56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3A232E21-F8CE-433C-8A32-181FDDE178EC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98CE3986-DF81-4A06-86C0-7CF59932E41D}"/>
            </a:ext>
          </a:extLst>
        </xdr:cNvPr>
        <xdr:cNvSpPr txBox="1"/>
      </xdr:nvSpPr>
      <xdr:spPr>
        <a:xfrm>
          <a:off x="69056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01%20-%20RESTAURO%20RUINAS\RESTAURO%20RUINAS\04%20-%20PLANILHA%20OR&#199;AMENT&#193;RIA%20ATUALIZADA\UBIACOr&#231;amento.Restauro%20R06%20-%20N&#227;o%20D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ADM"/>
      <sheetName val="GERAL"/>
      <sheetName val="COMPOSIÇÕES"/>
      <sheetName val="COTAÇÕES"/>
      <sheetName val="CRONOGRAMA"/>
      <sheetName val="BDI"/>
      <sheetName val="LS"/>
      <sheetName val="Plan1"/>
    </sheetNames>
    <sheetDataSet>
      <sheetData sheetId="0"/>
      <sheetData sheetId="1"/>
      <sheetData sheetId="2"/>
      <sheetData sheetId="3"/>
      <sheetData sheetId="4">
        <row r="1">
          <cell r="B1" t="str">
            <v>CÓDIGO</v>
          </cell>
          <cell r="C1" t="str">
            <v>DESCRIÇÃO</v>
          </cell>
          <cell r="D1" t="str">
            <v>UNID</v>
          </cell>
          <cell r="E1" t="str">
            <v>UNIT (R$)</v>
          </cell>
          <cell r="F1" t="str">
            <v>FONTE</v>
          </cell>
        </row>
        <row r="2">
          <cell r="B2" t="str">
            <v>COTAÇÃO-1</v>
          </cell>
          <cell r="C2" t="str">
            <v>CONVERTEDOR DE FERRUGEM</v>
          </cell>
          <cell r="D2" t="str">
            <v>Litros</v>
          </cell>
          <cell r="E2">
            <v>16.396666666666665</v>
          </cell>
          <cell r="F2"/>
        </row>
        <row r="3">
          <cell r="B3" t="str">
            <v>AMERICANAS.COM</v>
          </cell>
          <cell r="C3" t="str">
            <v>Armatec OX7 Convertedor De Ferrugem 500 Ml Vedacit</v>
          </cell>
          <cell r="D3" t="str">
            <v>L</v>
          </cell>
          <cell r="E3">
            <v>18.149999999999999</v>
          </cell>
          <cell r="F3" t="str">
            <v>https://www.americanas.com.br/produto/40545929/armatec-ox7-convertedor-de-ferrugem-500-ml-vedacit?WT.srch=1&amp;acc=e789ea56094489dffd798f86ff51c7a9&amp;epar=bp_pl_00_go_pla_casaeconst_geral_gmv&amp;gclid=CjwKCAiAxMLvBRBNEiwAKhr-nP3QkZckbLSU55LgYg_NVrSv-bL_ILNFENsqZ-fzaHTNDPbl2ynMARoClrkQAvD_BwE&amp;i=573fe311eec3dfb1f8016324&amp;o=5b6850efebb19ac62c950c4c&amp;opn=YSMESP&amp;sellerId=13403831000156&amp;sellerid=13403831000156&amp;wt.srch=1</v>
          </cell>
        </row>
        <row r="4">
          <cell r="B4" t="str">
            <v>AMERICANAS.COM</v>
          </cell>
          <cell r="C4" t="str">
            <v>Convertedor de Ferrugem 500 ml Tf7</v>
          </cell>
          <cell r="D4" t="str">
            <v>L</v>
          </cell>
          <cell r="E4">
            <v>14.03</v>
          </cell>
          <cell r="F4" t="str">
            <v>https://www.americanas.com.br/produto/45954443/convertedor-de-ferrugem-em-base-para-pintura-tf7?WT.srch=1&amp;acc=e789ea56094489dffd798f86ff51c7a9&amp;epar=bp_pl_00_go_pla_aic_geral_gmv&amp;gclid=CjwKCAiAxMLvBRBNEiwAKhr-nI-NbKH8mQ9QI2Rz3HiwJ8Te0_Mji5l26UrX0Ljcd0yw5rawceTfrhoC_rsQAvD_BwE&amp;i=5c8875c049f937f6256b2d35&amp;o=5bdcbf58ebb19ac62cda823b&amp;opn=YSMESP&amp;sellerId=32366501000182&amp;sellerid=32366501000182&amp;wt.srch=1</v>
          </cell>
        </row>
        <row r="5">
          <cell r="B5" t="str">
            <v>DUTRA MÁQUINAS</v>
          </cell>
          <cell r="C5" t="str">
            <v>Vonder - Convertedor de Ferrugem 500 ml</v>
          </cell>
          <cell r="D5" t="str">
            <v>L</v>
          </cell>
          <cell r="E5">
            <v>17.010000000000002</v>
          </cell>
          <cell r="F5" t="str">
            <v>https://www.dutramaquinas.com.br/p/convertedor-de-ferrugem-500-ml-51-99-705-000?gclid=Cj0KCQjwpdqDBhCSARIsAEUJ0hMlIUb0D8ze-cW1ELPv14vR_mDUq6M9mJHgvkH1VZ0PvsiJadHVL2EaAu5PEALw_wcB</v>
          </cell>
        </row>
        <row r="7">
          <cell r="B7" t="str">
            <v>COTAÇÃO-2</v>
          </cell>
          <cell r="C7" t="str">
            <v>RESINA VEGETAL - COLOFÔNIA</v>
          </cell>
          <cell r="D7" t="str">
            <v>Kg</v>
          </cell>
          <cell r="E7">
            <v>77.433333333333337</v>
          </cell>
          <cell r="F7"/>
        </row>
        <row r="8">
          <cell r="B8" t="str">
            <v>MERCADO LIVRE</v>
          </cell>
          <cell r="C8" t="str">
            <v>Breu Linhal Resina Vegetal 5kg</v>
          </cell>
          <cell r="D8">
            <v>5</v>
          </cell>
          <cell r="E8">
            <v>78</v>
          </cell>
          <cell r="F8" t="str">
            <v>https://produto.mercadolivre.com.br/MLB-1468828726-5-kilo-breu-colofnia-apronta-entrega-alta-qualidade-_JM#position=2&amp;type=item&amp;tracking_id=ba4f2b80-6fc3-404a-a433-31f63c9e87fc</v>
          </cell>
        </row>
        <row r="9">
          <cell r="B9" t="str">
            <v>CASA DOS QUÍMICOS</v>
          </cell>
          <cell r="C9" t="str">
            <v>BREU COLOFÔNIA WW 5kg</v>
          </cell>
          <cell r="D9">
            <v>5</v>
          </cell>
          <cell r="E9">
            <v>82.9</v>
          </cell>
          <cell r="F9" t="str">
            <v>https://www.casadosquimicos.com.br/materia-prima/breu-colofonia-ww-1kg</v>
          </cell>
        </row>
        <row r="10">
          <cell r="B10" t="str">
            <v>MERCADO LIVRE</v>
          </cell>
          <cell r="C10" t="str">
            <v>Breu Colofônia - MV Química</v>
          </cell>
          <cell r="D10">
            <v>5</v>
          </cell>
          <cell r="E10">
            <v>71.400000000000006</v>
          </cell>
          <cell r="F10" t="str">
            <v>https://produto.mercadolivre.com.br/MLB-1213018718-breu-colofnia-pacote-1kg-_JM#position=3&amp;type=item&amp;tracking_id=877ff0ec-ca51-4b18-b363-bb83bebc3d50</v>
          </cell>
        </row>
        <row r="12">
          <cell r="B12" t="str">
            <v>COTAÇÃO-3</v>
          </cell>
          <cell r="C12" t="str">
            <v>ÁLCOOL ISOPRPOPÍLICO</v>
          </cell>
          <cell r="D12" t="str">
            <v>Litros</v>
          </cell>
          <cell r="E12">
            <v>47.063333333333333</v>
          </cell>
          <cell r="F12"/>
        </row>
        <row r="13">
          <cell r="B13" t="str">
            <v>AMERICANAS.COM</v>
          </cell>
          <cell r="C13" t="str">
            <v>Álcool Isopropílico Puro 99,8% Limpeza de eletrônico bico dosador</v>
          </cell>
          <cell r="D13">
            <v>1</v>
          </cell>
          <cell r="E13">
            <v>44.99</v>
          </cell>
          <cell r="F13" t="str">
            <v>https://www.americanas.com.br/produto/2631518990?pfm_carac=alcool-isopropilico-1-litro-99-8&amp;pfm_page=search&amp;pfm_pos=grid&amp;pfm_type=search_page</v>
          </cell>
        </row>
        <row r="14">
          <cell r="B14" t="str">
            <v>AMERICANAS.COM</v>
          </cell>
          <cell r="C14" t="str">
            <v>Álcool Isopropílico Isopropanol Implastec</v>
          </cell>
          <cell r="D14">
            <v>1</v>
          </cell>
          <cell r="E14">
            <v>51.3</v>
          </cell>
          <cell r="F14" t="str">
            <v>https://www.americanas.com.br/produto/53461153/alcool-isopropilico-isopropanol-1-litro-implastec?WT.srch=1&amp;acc=e789ea56094489dffd798f86ff51c7a9&amp;epar=bp_pl_00_go_et_tvs-led_todas_geral_gmv&amp;gclid=CjwKCAiAxMLvBRBNEiwAKhr-nCqJP6mHUqfKw8fKE6p7efAk9IQ0fw85LihNU9aEYvciNXWxf0CAbhoCrm8QAvD_BwE&amp;i=590aabe5eec3dfb1f8a8a094&amp;o=5c6dcba46c28a3cb50734225&amp;opn=YSMESP&amp;sellerId=19248565000110&amp;sellerid=19248565000110&amp;wt.srch=1</v>
          </cell>
        </row>
        <row r="15">
          <cell r="B15" t="str">
            <v>AMERICANAS.COM</v>
          </cell>
          <cell r="C15" t="str">
            <v>Alcool Isopropylico Puro 99,8% Limpador De Uso Geral</v>
          </cell>
          <cell r="D15">
            <v>1</v>
          </cell>
          <cell r="E15">
            <v>44.9</v>
          </cell>
          <cell r="F15" t="str">
            <v>https://www.americanas.com.br/produto/3116969219?pfm_carac=alcool-isopropilico-1-litro-99-8&amp;pfm_index=2&amp;pfm_page=search&amp;pfm_pos=grid&amp;pfm_type=search_page</v>
          </cell>
        </row>
        <row r="17">
          <cell r="B17" t="str">
            <v>COTAÇÃO-4</v>
          </cell>
          <cell r="C17" t="str">
            <v>COLA PELE DE COELHO</v>
          </cell>
          <cell r="D17" t="str">
            <v>Gramas</v>
          </cell>
          <cell r="E17">
            <v>348.52333333333331</v>
          </cell>
          <cell r="F17"/>
        </row>
        <row r="18">
          <cell r="B18" t="str">
            <v>MERCADO LIVRE</v>
          </cell>
          <cell r="C18" t="str">
            <v>Cola De Coelho Cromacolor</v>
          </cell>
          <cell r="D18">
            <v>500</v>
          </cell>
          <cell r="E18">
            <v>214.5</v>
          </cell>
          <cell r="F18" t="str">
            <v>https://produto.mercadolivre.com.br/MLB-1378682527-cola-de-coelho-cromacolor-500g-douraco-pintura-_JM?matt_tool=40863305&amp;matt_word=&amp;matt_source=google&amp;matt_campaign_id=12413749863&amp;matt_ad_group_id=117898708693&amp;matt_match_type=&amp;matt_network=g&amp;matt_device=c&amp;matt_creative=500615083824&amp;matt_keyword=&amp;matt_ad_position=&amp;matt_ad_type=pla&amp;matt_merchant_id=137607393&amp;matt_product_id=MLB1378682527&amp;matt_product_partition_id=864293977804&amp;matt_target_id=pla-864293977804&amp;gclid=Cj0KCQjwyN-DBhCDARIsAFOELTmUGIuTdyV-WPgTwvmUFhMjHIpYbBaVqIP0mClcGEQw1FubsdEokloaAvidEALw_wcB</v>
          </cell>
        </row>
        <row r="19">
          <cell r="B19" t="str">
            <v>AMERICANAS.COM</v>
          </cell>
          <cell r="C19" t="str">
            <v>Cola De Coelho Cromacolor</v>
          </cell>
          <cell r="D19">
            <v>500</v>
          </cell>
          <cell r="E19">
            <v>203.77</v>
          </cell>
          <cell r="F19" t="str">
            <v>https://www.americanas.com.br/produto/1745785332?opn=YSMESP&amp;loja=10389282000114&amp;epar=bp_pl_oa_go_smartshop_pap&amp;WT.srch=1&amp;acc=e789ea56094489dffd798f86ff51c7a9&amp;i=5ea8f77d49f937f625f988f0&amp;o=5ed79d6af8e95eac3d041e7b&amp;gclid=Cj0KCQjwyN-DBhCDARIsAFOELTmLRaDovOj_kSQQ7x9jK39HYrOBcEqhZ5DTyKemsqyFKGMFkAS2b3QaAsKuEALw_wcB</v>
          </cell>
        </row>
        <row r="20">
          <cell r="B20" t="str">
            <v>CASA DO RESTAURADOR</v>
          </cell>
          <cell r="C20" t="str">
            <v>COLA DE PELE DE COELHO 100% PURA - PEROLAS</v>
          </cell>
          <cell r="D20">
            <v>500</v>
          </cell>
          <cell r="E20">
            <v>627.29999999999995</v>
          </cell>
          <cell r="F20" t="str">
            <v>https://www.casadorestaurador.com.br/loja/produto/KR63025K/cola-de-pele-de-coelho-100-pura---perolas</v>
          </cell>
        </row>
        <row r="22">
          <cell r="B22" t="str">
            <v>COTAÇÃO-5</v>
          </cell>
          <cell r="C22" t="str">
            <v>E.D.T.A. (SAL DISSÓDICO)</v>
          </cell>
          <cell r="D22" t="str">
            <v>Gramas</v>
          </cell>
          <cell r="E22">
            <v>68.36333333333333</v>
          </cell>
          <cell r="F22"/>
        </row>
        <row r="23">
          <cell r="B23" t="str">
            <v>MERCADO LIVRE</v>
          </cell>
          <cell r="C23" t="str">
            <v>Edta - Sal Dissódico P.a. 100% Puro</v>
          </cell>
          <cell r="D23">
            <v>500</v>
          </cell>
          <cell r="E23">
            <v>90</v>
          </cell>
          <cell r="F23" t="str">
            <v>https://produto.mercadolivre.com.br/MLB-906419210-edta-sal-dissodico-pa-500g-100-puro-_JM?matt_tool=40237343&amp;matt_word=&amp;matt_source=google&amp;matt_campaign_id=12131920443&amp;matt_ad_group_id=120523325487&amp;matt_match_type=&amp;matt_network=g&amp;matt_device=c&amp;matt_creative=493383634706&amp;matt_keyword=&amp;matt_ad_position=&amp;matt_ad_type=pla&amp;matt_merchant_id=374208789&amp;matt_product_id=MLB906419210&amp;matt_product_partition_id=319510144234&amp;matt_target_id=pla-319510144234&amp;gclid=Cj0KCQjwyN-DBhCDARIsAFOELTmW1fYp-koDl6mRBJWwlW7c5pG5NOGnq4BaFgM84sxSVNFymn1gtW0aAhgMEALw_wcB</v>
          </cell>
        </row>
        <row r="24">
          <cell r="B24" t="str">
            <v>AMERICANAS.COM</v>
          </cell>
          <cell r="C24" t="str">
            <v>Edta sal dissodico dihidratado PA Neon</v>
          </cell>
          <cell r="D24">
            <v>500</v>
          </cell>
          <cell r="E24">
            <v>49.4</v>
          </cell>
          <cell r="F24" t="str">
            <v>https://www.americanas.com.br/produto/1670433041?opn=YSMESP&amp;sellerid=39377395000181&amp;epar=bp_pl_00_go_pla_aic_geral_gmv&amp;WT.srch=1&amp;acc=e789ea56094489dffd798f86ff51c7a9&amp;i=5cb006d549f937f6258de155&amp;o=5ea34b07f8e95eac3d483c44&amp;gclid=Cj0KCQjwyN-DBhCDARIsAFOELTnwDDRmWK31P4_bPZoTfS1XUcQ70BzHxy-ApqvwpaBnDheKKqfYfkgaAiPkEALw_wcB#info-section</v>
          </cell>
        </row>
        <row r="25">
          <cell r="B25" t="str">
            <v>LOJA SYNTH</v>
          </cell>
          <cell r="C25" t="str">
            <v>E.D.T.A. Sal Dissódico 2H2O P.A.</v>
          </cell>
          <cell r="D25">
            <v>500</v>
          </cell>
          <cell r="E25">
            <v>65.69</v>
          </cell>
          <cell r="F25" t="str">
            <v>https://www.lojasynth.com/reagentes-analiticosmaterias-primas/reagentes-analiticosmaterias-primas/e-d-t-a-sal-dissodico-2h2o-p-a?parceiro=2827</v>
          </cell>
        </row>
        <row r="27">
          <cell r="B27" t="str">
            <v>COTAÇÃO-6</v>
          </cell>
          <cell r="C27" t="str">
            <v>GLICERINA LÍQUIDA</v>
          </cell>
          <cell r="D27" t="str">
            <v>Litros</v>
          </cell>
          <cell r="E27">
            <v>37.633333333333333</v>
          </cell>
          <cell r="F27"/>
        </row>
        <row r="28">
          <cell r="B28" t="str">
            <v>MAGAZINE LUIZA</v>
          </cell>
          <cell r="C28" t="str">
            <v>Glicerina Bi Destilada USP Vegetal  Bella Donna</v>
          </cell>
          <cell r="D28">
            <v>1</v>
          </cell>
          <cell r="E28">
            <v>22</v>
          </cell>
          <cell r="F28" t="str">
            <v>https://www.magazineluiza.com.br/glicerina-bi-destilada-usp-vegetal-1-lt-bella-donna/p/kbk1hkc6df/pf/pfhc/?&amp;utm_source=google&amp;partner_id=27387&amp;seller_id=comercialsuperbrothers&amp;product_group_id=351541324263&amp;ad_group_id=48543697835&amp;gclid=CjwKCAiAxMLvBRBNEiwAKhr-nEaV_SmgZORvyqhrxDghAj2XLjK8cVAW7U5Smcv7FK74761-7mhOaxoC-TwQAvD_BwE</v>
          </cell>
        </row>
        <row r="29">
          <cell r="B29" t="str">
            <v>MAGAZINE LUIZA</v>
          </cell>
          <cell r="C29" t="str">
            <v>Glicerina Vegetal Usp Purissima Synth</v>
          </cell>
          <cell r="D29">
            <v>1</v>
          </cell>
          <cell r="E29">
            <v>69</v>
          </cell>
          <cell r="F29" t="str">
            <v>https://www.magazineluiza.com.br/glicerina-vegetal-usp-purissima-1-litro-synth/p/fb25ec5eeh/pf/glic/</v>
          </cell>
        </row>
        <row r="30">
          <cell r="B30" t="str">
            <v>CASA DOS QUÍMICOS</v>
          </cell>
          <cell r="C30" t="str">
            <v xml:space="preserve">GLICERINA BI-DESTILADA VEGETAL USP </v>
          </cell>
          <cell r="D30">
            <v>1</v>
          </cell>
          <cell r="E30">
            <v>21.9</v>
          </cell>
          <cell r="F30" t="str">
            <v>https://www.casadosquimicos.com.br/materia-prima/glicerina-bi-destilada-usp-1-l?parceiro=7072&amp;gclid=CjwKCAiAxMLvBRBNEiwAKhr-nOussVftf4435aP3jL0CQzAn5RWBqM8Vi8vPy4TzWMhBtZ-WT6B3-RoCceQQAvD_BwE</v>
          </cell>
        </row>
        <row r="32">
          <cell r="B32" t="str">
            <v>COTAÇÃO-7</v>
          </cell>
          <cell r="C32" t="str">
            <v>AGUARRÁS</v>
          </cell>
          <cell r="D32" t="str">
            <v>Litros</v>
          </cell>
          <cell r="E32">
            <v>15.566666666666668</v>
          </cell>
          <cell r="F32"/>
        </row>
        <row r="33">
          <cell r="B33" t="str">
            <v>EXTRA.COM</v>
          </cell>
          <cell r="C33" t="str">
            <v>Aguarrás - Itaqua</v>
          </cell>
          <cell r="D33">
            <v>0.9</v>
          </cell>
          <cell r="E33">
            <v>16.38</v>
          </cell>
          <cell r="F33" t="str">
            <v>https://www.extra.com.br/MaterialparaConstrucao/PinturaAcessorios/SolventesRemovedores/aguarras-900ml-itaqua-1509612242.html?IdSku=1509612242</v>
          </cell>
        </row>
        <row r="34">
          <cell r="B34" t="str">
            <v>COPAFER</v>
          </cell>
          <cell r="C34" t="str">
            <v xml:space="preserve">Aguarrás - Suvinil </v>
          </cell>
          <cell r="D34">
            <v>0.9</v>
          </cell>
          <cell r="E34">
            <v>14.39</v>
          </cell>
          <cell r="F34" t="str">
            <v>https://www.copafer.com.br/aguarras-900ml-53447358-suvinil-p1109635?tsid=17&amp;utm_source=google&amp;utm_medium=cpc&amp;utm_content=Aguarr%C3%A1s%20900ml%20-%2053447358%20-%20SUVINIL&amp;utm_campaign=tintas-e-acessorios&amp;pht=5891501858647464&amp;gclid=Cj0KCQjwyN-DBhCDARIsAFOELTkMFnLeR2ij04lzAQ3MM6QR_dcITBFgMZoqwWvAUUutKcrysn_7NnEaAuRpEALw_wcB</v>
          </cell>
        </row>
        <row r="35">
          <cell r="B35" t="str">
            <v>MERCADO LIVRE</v>
          </cell>
          <cell r="C35" t="str">
            <v xml:space="preserve">Aguarrás - Natrielli </v>
          </cell>
          <cell r="D35">
            <v>0.9</v>
          </cell>
          <cell r="E35">
            <v>15.93</v>
          </cell>
          <cell r="F35" t="str">
            <v>https://produto.mercadolivre.com.br/MLB-1609896802-aguarras-natrielli-900ml-_JM?matt_tool=68186480&amp;matt_word=&amp;matt_source=google&amp;matt_campaign_id=12271057348&amp;matt_ad_group_id=117812253976&amp;matt_match_type=&amp;matt_network=g&amp;matt_device=c&amp;matt_creative=496856058221&amp;matt_keyword=&amp;matt_ad_position=&amp;matt_ad_type=pla&amp;matt_merchant_id=321605751&amp;matt_product_id=MLB1609896802&amp;matt_product_partition_id=310938601101&amp;matt_target_id=pla-310938601101&amp;gclid=Cj0KCQjwyN-DBhCDARIsAFOELTkdtmx402uBDoywWbEm1fbln3MLlqQs7D7jYJdVxC_Eh4XOfpjGv4kaAgsaEALw_wcB</v>
          </cell>
        </row>
        <row r="37">
          <cell r="B37" t="str">
            <v>COTAÇÃO-8</v>
          </cell>
          <cell r="C37" t="str">
            <v>BENZINA RETIFICADA (H3(CH2)4CH3, reagente analítico) com gravidade específica a 25ºC min 0,687</v>
          </cell>
          <cell r="D37" t="str">
            <v>Litros</v>
          </cell>
          <cell r="E37">
            <v>27.533333333333331</v>
          </cell>
          <cell r="F37"/>
        </row>
        <row r="38">
          <cell r="B38" t="str">
            <v>LADER QUÍMICA</v>
          </cell>
          <cell r="C38" t="str">
            <v>Benzina retificada PA - Neon</v>
          </cell>
          <cell r="D38">
            <v>1</v>
          </cell>
          <cell r="E38">
            <v>33</v>
          </cell>
          <cell r="F38" t="str">
            <v>https://www.laderquimica.com.br/benzina-retificada-pa-1-litro-neon?utm_source=Site&amp;utm_medium=GoogleMerchant&amp;utm_campaign=GoogleMerchant</v>
          </cell>
        </row>
        <row r="39">
          <cell r="B39" t="str">
            <v>MERCADO LIVRE</v>
          </cell>
          <cell r="C39" t="str">
            <v>Benzina Hexano Retificada 100% Pura 1 Litro</v>
          </cell>
          <cell r="D39">
            <v>1</v>
          </cell>
          <cell r="E39">
            <v>29.9</v>
          </cell>
          <cell r="F39" t="str">
            <v>https://produto.mercadolivre.com.br/MLB-1244527387-benzina-hexano-retificada-100-pura-1-litro-_JM?matt_tool=26177295&amp;matt_word&amp;gclid=CjwKCAiAxMLvBRBNEiwAKhr-nCx29zNrBrmet8ZltLX08zLxcD2LuZzQlYbO4rNcA1Ff6vh5Ore7XRoCqp8QAvD_BwE&amp;quantity=1</v>
          </cell>
        </row>
        <row r="40">
          <cell r="B40" t="str">
            <v>CONTROLLAB</v>
          </cell>
          <cell r="C40" t="str">
            <v>Benzina retificada 1L - ALPHATEC</v>
          </cell>
          <cell r="D40">
            <v>1</v>
          </cell>
          <cell r="E40">
            <v>19.7</v>
          </cell>
          <cell r="F40" t="str">
            <v>https://www.lojacontrollab.com.br/produtos/benzina-retificada-1l-alphatec/</v>
          </cell>
        </row>
        <row r="42">
          <cell r="B42" t="str">
            <v>COTAÇÃO-9</v>
          </cell>
          <cell r="C42" t="str">
            <v>PERMAGANATO DE POTÁSSIO</v>
          </cell>
          <cell r="D42" t="str">
            <v>Kg</v>
          </cell>
          <cell r="E42">
            <v>91.333333333333329</v>
          </cell>
          <cell r="F42"/>
        </row>
        <row r="43">
          <cell r="B43" t="str">
            <v>DIDÁTICA SP</v>
          </cell>
          <cell r="C43" t="str">
            <v xml:space="preserve">PERMANGANATO DE POTASSIO PA </v>
          </cell>
          <cell r="D43">
            <v>1</v>
          </cell>
          <cell r="E43">
            <v>75</v>
          </cell>
          <cell r="F43" t="str">
            <v>https://www.didaticasp.com.br/permanganato-de-potassio-pa-1kg-pfssp</v>
          </cell>
        </row>
        <row r="44">
          <cell r="B44" t="str">
            <v>ANIDROL</v>
          </cell>
          <cell r="C44" t="str">
            <v xml:space="preserve">PERMANGANATO DE POTASSIO PA </v>
          </cell>
          <cell r="D44">
            <v>1</v>
          </cell>
          <cell r="E44">
            <v>122</v>
          </cell>
          <cell r="F44" t="str">
            <v>http://www.anidrol.com.br/Produto/id/891</v>
          </cell>
        </row>
        <row r="45">
          <cell r="B45" t="str">
            <v>META QUÍMICA</v>
          </cell>
          <cell r="C45" t="str">
            <v xml:space="preserve">PERMANGANATO DE POTASSIO PA </v>
          </cell>
          <cell r="D45">
            <v>1</v>
          </cell>
          <cell r="E45">
            <v>77</v>
          </cell>
          <cell r="F45" t="str">
            <v>https://www.metaquimica.com/permanganato-de-potassio-pa-acs-25kg-exodo-formula-kmno4-cas-7722-64-7-controlado-policia-federal.html</v>
          </cell>
        </row>
        <row r="47">
          <cell r="B47" t="str">
            <v>COTAÇÃO-10</v>
          </cell>
          <cell r="C47" t="str">
            <v>FOGÃO 4 BOCAS</v>
          </cell>
          <cell r="D47" t="str">
            <v xml:space="preserve">UN </v>
          </cell>
          <cell r="E47">
            <v>722.6633333333333</v>
          </cell>
          <cell r="F47"/>
        </row>
        <row r="48">
          <cell r="B48" t="str">
            <v>CASAS BAHIA</v>
          </cell>
          <cell r="C48" t="str">
            <v>Fogão Esmaltec 4 Bocas Ágata com Acendimento Automático - Inox</v>
          </cell>
          <cell r="D48" t="str">
            <v xml:space="preserve">UN </v>
          </cell>
          <cell r="E48">
            <v>809</v>
          </cell>
          <cell r="F48" t="str">
            <v>https://www.casasbahia.com.br/Eletrodomesticos/Fogoes/Piso4Bocas/fogao-esmaltec-4-bocas-agata-com-acendimento-automatico-inox-11236971.html?utm_medium=Cpc&amp;utm_source=GP_PLA&amp;IdSku=11236971&amp;idLojista=10037&amp;utm_campaign=eldo_smart-shopping&amp;gclid=EAIaIQobChMIloHZ06rl5QIVGovICh3l0g2hEAkYCyABEgIr__D_BwE</v>
          </cell>
        </row>
        <row r="49">
          <cell r="B49" t="str">
            <v>EXTRA</v>
          </cell>
          <cell r="C49" t="str">
            <v>Fogão Esmaltec 4 Bocas Ágata com Acendimento Automático - Inox</v>
          </cell>
          <cell r="D49" t="str">
            <v xml:space="preserve">UN </v>
          </cell>
          <cell r="E49">
            <v>499</v>
          </cell>
          <cell r="F49" t="str">
            <v>https://www.extra.com.br/Eletrodomesticos/Fogoes/Piso4Bocas/fogao-atlas-4-bocas-monaco-automatico-com-forno-limpa-facil-e-eficiencia-energetica-branco-1778714.html?utm_medium=cpc&amp;utm_source=gp_pla&amp;IdSku=1778714&amp;idLojista=15&amp;utm_campaign=eldo_smart-shopping&amp;gclid=Cj0KCQiAq97uBRCwARIsADTziyYujENw9xn0TkAbPL5QykMVN-XtmYSohch1UJPBxYajbkiG4WLdf5caAtK4EALw_wcB</v>
          </cell>
        </row>
        <row r="50">
          <cell r="B50" t="str">
            <v>AMERICANAS</v>
          </cell>
          <cell r="C50" t="str">
            <v>Fogão Esmaltec 4 Bocas Ágata com Acendimento Automático - Inox</v>
          </cell>
          <cell r="D50" t="str">
            <v xml:space="preserve">UN </v>
          </cell>
          <cell r="E50">
            <v>859.99</v>
          </cell>
          <cell r="F50" t="str">
            <v>https://www.americanas.com.br/produto/120277039/fogao-de-piso-brastemp-4-bocas-bfo4n-branco-bivolt?WT.srch=1&amp;acc=e789ea56094489dffd798f86ff51c7a9&amp;epar=bp_pl_00_go_ed_todas_geral_gmv&amp;gclid=Cj0KCQiAq97uBRCwARIsADTziybR1aBB8-83OeDSxIFkfGspN0RSpK-W7BPbaMriLIMJd8ztZ-tgv_kaAm2vEALw_wcB&amp;i=5612cbe46ed24cafb5cae011&amp;o=55ced9239c3238c7d1b8c921&amp;opn=YSMESP&amp;sellerId=00776574000660&amp;sellerid=00776574000660&amp;wt.srch=1</v>
          </cell>
        </row>
        <row r="52">
          <cell r="B52" t="str">
            <v>COTAÇÃO-11</v>
          </cell>
          <cell r="C52" t="str">
            <v>FORNO MICRO-ONDAS</v>
          </cell>
          <cell r="D52" t="str">
            <v xml:space="preserve">UN </v>
          </cell>
          <cell r="E52">
            <v>475.99666666666667</v>
          </cell>
          <cell r="F52"/>
        </row>
        <row r="53">
          <cell r="B53" t="str">
            <v>COLOMBO</v>
          </cell>
          <cell r="C53" t="str">
            <v>Micro-ondas Consul, 20 Litros, 10 Níveis de Potência, Branco - CMA20BB</v>
          </cell>
          <cell r="D53" t="str">
            <v xml:space="preserve">UN </v>
          </cell>
          <cell r="E53">
            <v>499</v>
          </cell>
          <cell r="F53" t="str">
            <v>https://www.colombo.com.br/produto/Eletrodomesticos/Micro-ondas-Consul-20-Litros-10-Niveis-de-Potencia-Branco-CMA20BB?utm_content=787488-Micro-ondas-Consul-20-Litros-10-Niveis-de-Potencia-Branco-CMA20BB&amp;utm_campaign=Eletrodomesticos&amp;portal=15913C103A5238E5A80AC2F498EE090D&amp;utm_source=Comparador&amp;utm_medium=Zoom</v>
          </cell>
        </row>
        <row r="54">
          <cell r="B54" t="str">
            <v>AMERICANAS</v>
          </cell>
          <cell r="C54" t="str">
            <v>FORNO MICRO-ONDAS 20L BRANCO E PRETO</v>
          </cell>
          <cell r="D54" t="str">
            <v xml:space="preserve">UN </v>
          </cell>
          <cell r="E54">
            <v>459</v>
          </cell>
          <cell r="F54" t="str">
            <v>https://www.americanas.com.br/produto/37596873?pfm_carac=aproveite%20e%20veja%20tamb%C3%A9m&amp;pfm_index=3&amp;pfm_pos=&amp;pfm_type=vit_recommendation&amp;DCSext.recom=RR_item_page.rr1-ClickCP&amp;nm_origem=rec_item_page.rr1-ClickCP&amp;nm_ranking_rec=4&amp;cor=Branco%20e%20Preto&amp;voltagem=220v</v>
          </cell>
        </row>
        <row r="55">
          <cell r="B55" t="str">
            <v>AMERICANAS</v>
          </cell>
          <cell r="C55" t="str">
            <v>Forno micro-ondas Electrolux MTD30 20 litros 110v</v>
          </cell>
          <cell r="D55" t="str">
            <v xml:space="preserve">UN </v>
          </cell>
          <cell r="E55">
            <v>469.99</v>
          </cell>
          <cell r="F55" t="str">
            <v>https://www.americanas.com.br/produto/119757799/micro-ondas-electrolux-mtd30-20-litros-branco?DCSext.recom=RR_item_page.rr1-CategorySiloedViewCP&amp;dcsext.recom=RR_item_page.rr1-CategorySiloedViewCP&amp;nm_origem=rec_item_page.rr1-CategorySiloedViewCP&amp;nm_ranking_rec=1&amp;voltagem=110%20volts</v>
          </cell>
        </row>
        <row r="57">
          <cell r="B57" t="str">
            <v>COTAÇÃO-12</v>
          </cell>
          <cell r="C57" t="str">
            <v>EXAUSTOR</v>
          </cell>
          <cell r="D57" t="str">
            <v xml:space="preserve">UN </v>
          </cell>
          <cell r="E57">
            <v>296.83666666666664</v>
          </cell>
          <cell r="F57"/>
        </row>
        <row r="58">
          <cell r="B58" t="str">
            <v>CASAS BAHIA</v>
          </cell>
          <cell r="C58" t="str">
            <v>Depurador de Ar Suggar DI60BIBR Slim Branco Bivolt - 60cm</v>
          </cell>
          <cell r="D58">
            <v>1</v>
          </cell>
          <cell r="E58">
            <v>219</v>
          </cell>
          <cell r="F58" t="str">
            <v>https://www.casasbahia.com.br/Eletrodomesticos/DepuradoresdeAr/depurador-de-ar-suggar-di60bibr-slim-branco-bivolt-60cm-12035941.html?utm_medium=Cpc&amp;utm_source=GP_PLA&amp;IdSku=12035941&amp;idLojista=10037&amp;utm_campaign=eldo_smart-shopping&amp;gclid=EAIaIQobChMIpYmgpavl5QIVmYvICh1vgwfzEAkYAyABEgJDUvD_BwE</v>
          </cell>
        </row>
        <row r="59">
          <cell r="B59" t="str">
            <v>AMERICANAS</v>
          </cell>
          <cell r="C59" t="str">
            <v>Depurador de Ar Philco Slim 60cm PDR60I Inox - 110v</v>
          </cell>
          <cell r="D59">
            <v>1</v>
          </cell>
          <cell r="E59">
            <v>454.61</v>
          </cell>
          <cell r="F59" t="str">
            <v>https://www.americanas.com.br/produto/132768273/depurador-de-ar-philco-slim-pdr60i-60cm-inox?pfm_carac=depurador%20de%20ar&amp;pfm_index=20&amp;pfm_page=search&amp;pfm_pos=grid&amp;pfm_type=search_page&amp;voltagem=110V</v>
          </cell>
        </row>
        <row r="60">
          <cell r="B60" t="str">
            <v>MERCADO LIVRE</v>
          </cell>
          <cell r="C60" t="str">
            <v>Depurador de Cozinha Colormaq Cook de parede 60cm x 53cm x 13cm branco 127V</v>
          </cell>
          <cell r="D60">
            <v>1</v>
          </cell>
          <cell r="E60">
            <v>216.9</v>
          </cell>
          <cell r="F60" t="str">
            <v>https://www.mercadolivre.com.br/depurador-de-cozinha-colormaq-cook-de-parede-60cm-x-53cm-x-13cm-branco-127v/p/MLB15308746?pdp_filters=category:MLB50495#searchVariation=MLB15308746&amp;position=2&amp;type=product&amp;tracking_id=4a2d2c9e-d5b8-4db5-8e08-a53b5d221e72</v>
          </cell>
        </row>
        <row r="62">
          <cell r="B62" t="str">
            <v>COTAÇÃO-13</v>
          </cell>
          <cell r="C62" t="str">
            <v>GELADEIRA 260L</v>
          </cell>
          <cell r="D62" t="str">
            <v xml:space="preserve">UN </v>
          </cell>
          <cell r="E62">
            <v>1600.3566666666666</v>
          </cell>
          <cell r="F62"/>
        </row>
        <row r="63">
          <cell r="B63" t="str">
            <v>PONTO FRIO</v>
          </cell>
          <cell r="C63" t="str">
            <v>Refrigerador Electrolux Duplex DC35A 260L - Branco</v>
          </cell>
          <cell r="D63">
            <v>1</v>
          </cell>
          <cell r="E63">
            <v>1673.07</v>
          </cell>
          <cell r="F63" t="str">
            <v>https://www.pontofrio.com.br/Eletrodomesticos/GeladeiraeRefrigerador/2Portas/refrigerador-electrolux-duplex-dc35a-260l-branco-1743666.html?IdSku=1743666</v>
          </cell>
        </row>
        <row r="64">
          <cell r="B64" t="str">
            <v>EXTRA</v>
          </cell>
          <cell r="C64" t="str">
            <v>Refrigerador Electrolux Duplex DC35A 260L - Branco</v>
          </cell>
          <cell r="D64">
            <v>1</v>
          </cell>
          <cell r="E64">
            <v>1899</v>
          </cell>
          <cell r="F64" t="str">
            <v>https://www.extra.com.br/Eletrodomesticos/GeladeiraeRefrigerador/2Portas/refrigerador-electrolux-duplex-dc35a-260l-branco-1743666.html?IdSku=1743666</v>
          </cell>
        </row>
        <row r="65">
          <cell r="B65" t="str">
            <v>CASAS BAHIA</v>
          </cell>
          <cell r="C65" t="str">
            <v>Refrigerador Electrolux Duplex DC35A 260L - Branco</v>
          </cell>
          <cell r="D65">
            <v>1</v>
          </cell>
          <cell r="E65">
            <v>1229</v>
          </cell>
          <cell r="F65" t="str">
            <v>https://www.casasbahia.com.br/Eletrodomesticos/GeladeiraeRefrigerador/2Portas/refrigerador-electrolux-duplex-dc35a-260l-branco-1743666.html?IdSku=1743666</v>
          </cell>
        </row>
        <row r="67">
          <cell r="B67" t="str">
            <v>COTAÇÃO-14</v>
          </cell>
          <cell r="C67" t="str">
            <v>FREEZER VERTICAL - 121L</v>
          </cell>
          <cell r="D67" t="str">
            <v xml:space="preserve">UN </v>
          </cell>
          <cell r="E67">
            <v>1602.2600000000002</v>
          </cell>
          <cell r="F67"/>
        </row>
        <row r="68">
          <cell r="B68" t="str">
            <v>CASAS BAHIA</v>
          </cell>
          <cell r="C68" t="str">
            <v>Freezer Vertical Consul CVU18GB 1 Porta - 121L</v>
          </cell>
          <cell r="D68">
            <v>1</v>
          </cell>
          <cell r="E68">
            <v>1529.1</v>
          </cell>
          <cell r="F68" t="str">
            <v>https://www.casasbahia.com.br/Eletrodomesticos/Freezer/freezer-vertical/freezer-vertical-consul-cvu18gb-1-porta-121l-320647.html?utm_medium=Cpc&amp;utm_source=GP_PLA&amp;IdSku=320648&amp;idLojista=10037&amp;utm_campaign=eldo_smart-shopping&amp;gclid=CjwKCAiA58fvBRAzEiwAQW-hzeBg7NtUKrPi0LTxIus96CQjwyCPiLSGiHl2tmqGSSNy5uNAfbKRLRoChZgQAvD_BwE</v>
          </cell>
        </row>
        <row r="69">
          <cell r="B69" t="str">
            <v>CARREFOUR</v>
          </cell>
          <cell r="C69" t="str">
            <v>Freezer Vertical Degelo Manual Consul 1 Porta 121 Litros CVU18GBBNA 220V</v>
          </cell>
          <cell r="D69">
            <v>1</v>
          </cell>
          <cell r="E69">
            <v>1688.41</v>
          </cell>
          <cell r="F69" t="str">
            <v>https://www.carrefour.com.br/Freezer-Vertical-Degelo-Manual-Consul-1-Porta-121-Litros-CVU18GBBNA-220V/p/8848106?utm_source=google_pla_3p&amp;utm_medium=sem&amp;gclid=CjwKCAiA58fvBRAzEiwAQW-hzQVR3uSS_rXtlG-o6jGZPwojFGFlzOVHxSwrJphYtrp1N6wvwopCGBoCEjQQAvD_BwE</v>
          </cell>
        </row>
        <row r="70">
          <cell r="B70" t="str">
            <v>SHOPTIME</v>
          </cell>
          <cell r="C70" t="str">
            <v>Freezer Consul Vertical 121L CVU18 220V</v>
          </cell>
          <cell r="D70">
            <v>1</v>
          </cell>
          <cell r="E70">
            <v>1589.27</v>
          </cell>
          <cell r="F70" t="str">
            <v>https://www.shoptime.com.br/produto/7425015/freezer-consul-cvu18-vertical-branco-121l?WT.srch=1&amp;acc=a76c8289649a0bef0524c56c85e71570&amp;epar=bp_pl_00_go_ed_refrigerador_todas_geral_gmv&amp;gclid=CjwKCAiA58fvBRAzEiwAQW-hzaXwAGAh_NtvAv9OkieaK7wBLqQ2uVA8tnPGpHr19Z4sMpAaOKpgVRoChv0QAvD_BwE&amp;i=5d7bf6fe49f937f6250f5423&amp;o=55e91fed6ed24cafb5bccd04&amp;opn=GOOGLEXML&amp;sellerId=45543915000181&amp;sellerid=45543915000181&amp;voltagem=220%20volts&amp;wt.srch=1</v>
          </cell>
        </row>
        <row r="72">
          <cell r="B72" t="str">
            <v>COTAÇÃO-15</v>
          </cell>
          <cell r="C72" t="str">
            <v>MESAS</v>
          </cell>
          <cell r="D72" t="str">
            <v xml:space="preserve">UN </v>
          </cell>
          <cell r="E72">
            <v>152.66333333333333</v>
          </cell>
          <cell r="F72"/>
        </row>
        <row r="73">
          <cell r="B73" t="str">
            <v>RUSTICO SHOP</v>
          </cell>
          <cell r="C73" t="str">
            <v>Mesa de Madeira Dobrável 70 x 70 com Acabamento Café</v>
          </cell>
          <cell r="D73" t="str">
            <v xml:space="preserve">UN </v>
          </cell>
          <cell r="E73">
            <v>99</v>
          </cell>
          <cell r="F73" t="str">
            <v>https://www.rusticoshop.com.br/mesa-de-madeira-dobravel-70-x-70-com-acabamento-cafe?utm_source=Site&amp;utm_medium=GoogleMerchant&amp;utm_campaign=GoogleMerchant&amp;gclid=EAIaIQobChMI5eGT56zl5QIVGq_ICh3oVwwYEAkYCCABEgKWMvD_BwE</v>
          </cell>
        </row>
        <row r="74">
          <cell r="B74" t="str">
            <v>AMERCIANAS.COM</v>
          </cell>
          <cell r="C74" t="str">
            <v>Mesa 70x70 Dobrável - Reisol Móveis</v>
          </cell>
          <cell r="D74" t="str">
            <v xml:space="preserve">UN </v>
          </cell>
          <cell r="E74">
            <v>189</v>
          </cell>
          <cell r="F74" t="str">
            <v>https://www.americanas.com.br/produto/71632578/mesa-70x70-dobravel-reisol-moveis?WT.srch=1&amp;acc=e789ea56094489dffd798f86ff51c7a9&amp;epar=bp_pl_00_go_mv_todas_geral_gmv&amp;gclid=CjwKCAiAlO7uBRANEiwA_vXQ-9GVvGZNqYv_ze6bCIigErYxxX4_S07DzfpW5GeEOYgot7y7wHevUxoCuPcQAvD_BwE&amp;i=5cbe828d49f937f625a53de2&amp;o=5ccb1ae86c28a3cb50b834d4&amp;opn=YSMESP&amp;sellerId=6137717000166&amp;sellerid=6137717000166&amp;wt.srch=1</v>
          </cell>
        </row>
        <row r="75">
          <cell r="B75" t="str">
            <v>AMERCIANAS.COM</v>
          </cell>
          <cell r="C75" t="str">
            <v>Mesa Avulsa Dobrável Bar Restaurante 70x70 Mel - BTB Móveis</v>
          </cell>
          <cell r="D75" t="str">
            <v xml:space="preserve">UN </v>
          </cell>
          <cell r="E75">
            <v>169.99</v>
          </cell>
          <cell r="F75" t="str">
            <v>https://www.americanas.com.br/produto/26037401/mesa-avulsa-dobravel-bar-restaurante-70x70-mel-btb-moveis?pfm_carac=Mesa%2070x70%20Dobr%C3%A1vel&amp;pfm_index=23&amp;pfm_page=search&amp;pfm_pos=grid&amp;pfm_type=search_page</v>
          </cell>
        </row>
        <row r="77">
          <cell r="B77" t="str">
            <v>COTAÇÃO-16</v>
          </cell>
          <cell r="C77" t="str">
            <v>CADEIRAS</v>
          </cell>
          <cell r="D77" t="str">
            <v xml:space="preserve">UN </v>
          </cell>
          <cell r="E77">
            <v>65.836666666666659</v>
          </cell>
          <cell r="F77"/>
        </row>
        <row r="78">
          <cell r="B78" t="str">
            <v>RUSTICO SHOP</v>
          </cell>
          <cell r="C78" t="str">
            <v>CADEIRAS</v>
          </cell>
          <cell r="D78" t="str">
            <v xml:space="preserve">UN </v>
          </cell>
          <cell r="E78">
            <v>57</v>
          </cell>
          <cell r="F78" t="str">
            <v>https://www.rusticoshop.com.br/httpaprecodefabricacombratacadotenishtml</v>
          </cell>
        </row>
        <row r="79">
          <cell r="B79" t="str">
            <v>AMERCIANAS.COM</v>
          </cell>
          <cell r="C79" t="str">
            <v>CADEIRAS</v>
          </cell>
          <cell r="D79" t="str">
            <v xml:space="preserve">UN </v>
          </cell>
          <cell r="E79">
            <v>75.989999999999995</v>
          </cell>
          <cell r="F79" t="str">
            <v>https://www.americanas.com.br/produto/26037394/cadeira-dobravel-madeira-avulsa-imbuia-btb-moveis?pfm_carac=cadeira%20madeira%20dobravel&amp;pfm_index=7&amp;pfm_page=search&amp;pfm_pos=grid&amp;pfm_type=search_page</v>
          </cell>
        </row>
        <row r="80">
          <cell r="B80" t="str">
            <v>AMERCIANAS.COM</v>
          </cell>
          <cell r="C80" t="str">
            <v>CADEIRAS</v>
          </cell>
          <cell r="D80" t="str">
            <v xml:space="preserve">UN </v>
          </cell>
          <cell r="E80">
            <v>64.52</v>
          </cell>
          <cell r="F80" t="str">
            <v>https://www.americanas.com.br/produto/76534650?pfm_carac=cadeira%20madeira%20dobravel&amp;pfm_index=14&amp;pfm_page=search&amp;pfm_pos=grid&amp;pfm_type=search_page</v>
          </cell>
        </row>
        <row r="82">
          <cell r="B82" t="str">
            <v>COTAÇÃO-17</v>
          </cell>
          <cell r="C82" t="str">
            <v>MESA REDONDA PEQUENA</v>
          </cell>
          <cell r="D82" t="str">
            <v xml:space="preserve">UN </v>
          </cell>
          <cell r="E82">
            <v>122.30666666666666</v>
          </cell>
          <cell r="F82"/>
        </row>
        <row r="83">
          <cell r="B83" t="str">
            <v>MERCADO LIVRE</v>
          </cell>
          <cell r="C83" t="str">
            <v>Mesa De Canto Laca Branco Brilho (70cm Alt / 40cm Tampo)</v>
          </cell>
          <cell r="D83" t="str">
            <v>UN</v>
          </cell>
          <cell r="E83">
            <v>139</v>
          </cell>
          <cell r="F83" t="str">
            <v>https://produto.mercadolivre.com.br/MLB-1406813507-mesa-de-canto-laca-branco-brilho-70cm-alt-40cm-tampo-_JM?variation=49158346706#reco_item_pos=14&amp;reco_backend=machinalis-domain-pads&amp;reco_backend_type=low_level&amp;reco_client=vip-pads&amp;reco_id=81e90151-fc89-40e5-97bb-25a4c1cb47d2&amp;is_advertising=true&amp;ad_domain=VIPCORE_RECOMMENDED&amp;ad_position=15&amp;ad_click_id=YmYxMzI1MzktNGE1ZS00MjUxLWI1MjktNjFmMjBiMjY0NDQ0</v>
          </cell>
        </row>
        <row r="84">
          <cell r="B84" t="str">
            <v>MERCADO LIVRE</v>
          </cell>
          <cell r="C84" t="str">
            <v>Mesinha De Canto Off White Pé Palito Bege 48 Cm De Mdf Tripé</v>
          </cell>
          <cell r="D84" t="str">
            <v>UN</v>
          </cell>
          <cell r="E84">
            <v>119.02</v>
          </cell>
          <cell r="F84" t="str">
            <v>https://produto.mercadolivre.com.br/MLB-1201718775-mesinha-de-canto-off-white-pe-palito-bege-48-cm-de-mdf-tripe-_JM?quantity=1#reco_item_pos=4&amp;reco_backend=machinalis-v2p-pdp-v2&amp;reco_backend_type=low_level&amp;reco_client=vip-v2p&amp;reco_id=bc0214d6-3e17-4a46-a424-5fa251351d75</v>
          </cell>
        </row>
        <row r="85">
          <cell r="B85" t="str">
            <v>MERCADO LIVRE</v>
          </cell>
          <cell r="C85" t="str">
            <v>Mesinha Apoio Classic R Mdf Pé Palito - Off White Freijo</v>
          </cell>
          <cell r="D85" t="str">
            <v>UN</v>
          </cell>
          <cell r="E85">
            <v>108.9</v>
          </cell>
          <cell r="F85" t="str">
            <v>https://produto.mercadolivre.com.br/MLB-1763842499-mesinha-apoio-classic-r-mdf-pe-palito-off-white-freijo-_JM?variation=72858603457#reco_item_pos=12&amp;reco_backend=machinalis-v2p-pdp-boost-v2&amp;reco_backend_type=low_level&amp;reco_client=vip-v2p&amp;reco_id=fe4634f0-23f5-4d71-a269-b9e5156be7c5</v>
          </cell>
        </row>
        <row r="87">
          <cell r="B87" t="str">
            <v>COTAÇÃO-18</v>
          </cell>
          <cell r="C87" t="str">
            <v>MESA REDONDA GRANDE</v>
          </cell>
          <cell r="D87" t="str">
            <v xml:space="preserve">UN </v>
          </cell>
          <cell r="E87">
            <v>1779.54</v>
          </cell>
          <cell r="F87"/>
        </row>
        <row r="88">
          <cell r="B88" t="str">
            <v>MERCADO LIVRE</v>
          </cell>
          <cell r="C88" t="str">
            <v>Mesa Redonda Modelo Moderno 90cm</v>
          </cell>
          <cell r="D88" t="str">
            <v xml:space="preserve">UN </v>
          </cell>
          <cell r="E88">
            <v>688.62</v>
          </cell>
          <cell r="F88" t="str">
            <v>https://produto.mercadolivre.com.br/MLB-1543192866-mesa-redonda-modelo-moderno-90cm-_JM?searchVariation=57123126417#searchVariation=57123126417&amp;position=5&amp;type=item&amp;tracking_id=86f3f434-003f-4e20-be2a-4afe1a510ee3</v>
          </cell>
        </row>
        <row r="89">
          <cell r="B89" t="str">
            <v>MERCADO LIVRE</v>
          </cell>
          <cell r="C89" t="str">
            <v>Mesa Jantar Redonda Diâmetro 2m Madeira Demolição</v>
          </cell>
          <cell r="D89" t="str">
            <v xml:space="preserve">UN </v>
          </cell>
          <cell r="E89">
            <v>2750</v>
          </cell>
          <cell r="F89" t="str">
            <v>https://produto.mercadolivre.com.br/MLB-1295211692-mesa-jantar-redonda-dimetro-2m-madeira-demolico-_JM?quantity=1&amp;variation=41882306374#position=18&amp;type=item&amp;tracking_id=95bd118f-e677-40ea-a5cf-b9c7aa264850</v>
          </cell>
        </row>
        <row r="90">
          <cell r="B90" t="str">
            <v>MARTINEZ DEMOLIÇÕES</v>
          </cell>
          <cell r="C90" t="str">
            <v>Mesa Redonda Com Prato Giratório De Angelim</v>
          </cell>
          <cell r="D90" t="str">
            <v xml:space="preserve">UN </v>
          </cell>
          <cell r="E90">
            <v>1900</v>
          </cell>
          <cell r="F90" t="str">
            <v>https://www.martinezdemolicoes.com.br/produto/mesa-redonda-com-prato-giratorio-de-angelim/?gclid=CjwKCAiA58fvBRAzEiwAQW-hzTSmYf1bye8zEFvCuC5wdAz-0rhDSh3ni6rc-6rN53aqphs9xMDbsxoCg3kQAvD_BwEClickCP&amp;nm_origem=rec_item_page.rr1-ClickCP&amp;nm_ranking_rec=2</v>
          </cell>
        </row>
        <row r="92">
          <cell r="B92" t="str">
            <v>COTAÇÃO-19</v>
          </cell>
          <cell r="C92" t="str">
            <v>SOFÁ DE ÁREA EXTERNA</v>
          </cell>
          <cell r="D92" t="str">
            <v xml:space="preserve">UN </v>
          </cell>
          <cell r="E92">
            <v>2328.7833333333333</v>
          </cell>
          <cell r="F92"/>
        </row>
        <row r="93">
          <cell r="B93" t="str">
            <v>MAGAZINE LUIZA</v>
          </cell>
          <cell r="C93" t="str">
            <v>SOFÁ DE ÁREA EXTERNA</v>
          </cell>
          <cell r="D93" t="str">
            <v xml:space="preserve">UN </v>
          </cell>
          <cell r="E93">
            <v>2643.9</v>
          </cell>
          <cell r="F93" t="str">
            <v>https://www.magazineluiza.com.br/sofa-4-lugares-para-jardim-area-externa-rattan-d7home/p/fa65jk7h8e/mo/sfae/</v>
          </cell>
        </row>
        <row r="94">
          <cell r="B94" t="str">
            <v>MAGAZINE LUIZA</v>
          </cell>
          <cell r="C94" t="str">
            <v>SOFÁ DE ÁREA EXTERNA</v>
          </cell>
          <cell r="D94" t="str">
            <v xml:space="preserve">UN </v>
          </cell>
          <cell r="E94">
            <v>2699.99</v>
          </cell>
          <cell r="F94" t="str">
            <v>https://www.magazineluiza.com.br/conjunto-para-area-externa-selina-marrom-mobly/p/fjhg52hfa6/mo/come/?&amp;utm_source=google&amp;utm_medium=pla&amp;utm_campaign=PLA_marketplace&amp;partner_id=16542&amp;seller_id=mobly&amp;product_group_id=298390187701&amp;ad_group_id=48543697875&amp;gclid=CjwKCAiA58fvBRAzEiwAQW-hzWJoLY0Is6DhZDIRjkwg5yxzy1sUb4wW9RZ6XEuDOQaz0QJAK3ya2BoCNdAQAvD_BwE</v>
          </cell>
        </row>
        <row r="95">
          <cell r="B95" t="str">
            <v>AMERICANAS.COM</v>
          </cell>
          <cell r="C95" t="str">
            <v>SOFÁ DE ÁREA EXTERNA</v>
          </cell>
          <cell r="D95" t="str">
            <v xml:space="preserve">UN </v>
          </cell>
          <cell r="E95">
            <v>1642.46</v>
          </cell>
          <cell r="F95" t="str">
            <v>https://www.americanas.com.br/produto/3095854155?pfm_carac=conjunto-bali&amp;pfm_index=1&amp;pfm_page=search&amp;pfm_pos=grid&amp;pfm_type=search_page</v>
          </cell>
        </row>
        <row r="97">
          <cell r="B97" t="str">
            <v>COTAÇÃO-20</v>
          </cell>
          <cell r="C97" t="str">
            <v>TRANSPORTE DE MATERIAL E ENTULHO</v>
          </cell>
          <cell r="D97" t="str">
            <v>MÊS</v>
          </cell>
          <cell r="E97">
            <v>29833.333333333332</v>
          </cell>
          <cell r="F97"/>
        </row>
        <row r="98">
          <cell r="B98" t="str">
            <v xml:space="preserve">TRASNPORTE </v>
          </cell>
          <cell r="C98" t="str">
            <v>DAS COUVES SERVICOS NAUTICOS E SUBAQUATICOS LTDA</v>
          </cell>
          <cell r="D98">
            <v>1</v>
          </cell>
          <cell r="E98">
            <v>36000</v>
          </cell>
          <cell r="F98" t="str">
            <v xml:space="preserve">Anexo </v>
          </cell>
        </row>
        <row r="99">
          <cell r="B99" t="str">
            <v xml:space="preserve">TRASNPORTE </v>
          </cell>
          <cell r="C99" t="str">
            <v>Costa Norte Dive</v>
          </cell>
          <cell r="D99">
            <v>1</v>
          </cell>
          <cell r="E99">
            <v>27500</v>
          </cell>
          <cell r="F99" t="str">
            <v xml:space="preserve">Anexo </v>
          </cell>
        </row>
        <row r="100">
          <cell r="B100" t="str">
            <v xml:space="preserve">TRASNPORTE </v>
          </cell>
          <cell r="C100" t="str">
            <v>Tuba-Tuba</v>
          </cell>
          <cell r="D100">
            <v>1</v>
          </cell>
          <cell r="E100">
            <v>26000</v>
          </cell>
          <cell r="F100" t="str">
            <v xml:space="preserve">Anexo </v>
          </cell>
        </row>
        <row r="102">
          <cell r="B102" t="str">
            <v>COTAÇÃO-21</v>
          </cell>
          <cell r="C102" t="str">
            <v>FITA DE LED</v>
          </cell>
          <cell r="D102" t="str">
            <v>Metros</v>
          </cell>
          <cell r="E102">
            <v>27.00333333333333</v>
          </cell>
          <cell r="F102"/>
        </row>
        <row r="103">
          <cell r="B103" t="str">
            <v>MERCADO LIVRE</v>
          </cell>
          <cell r="C103" t="str">
            <v>Fita Led Silicone Colante Prova Dágua Sanca Branco Frio 12v</v>
          </cell>
          <cell r="D103">
            <v>5</v>
          </cell>
          <cell r="E103">
            <v>28.9</v>
          </cell>
          <cell r="F103" t="str">
            <v>https://produto.mercadolivre.com.br/MLB-1489097322-fita-led-silicone-colante-prova-dagua-sanca-branco-frio-12v-_JM?matt_tool=35419131&amp;matt_word=&amp;matt_source=google&amp;matt_campaign_id=12410582774&amp;matt_ad_group_id=116564269605&amp;matt_match_type=&amp;matt_network=g&amp;matt_device=c&amp;matt_creative=500616071919&amp;matt_keyword=&amp;matt_ad_position=&amp;matt_ad_type=pla&amp;matt_merchant_id=370838656&amp;matt_product_id=MLB1489097322&amp;matt_product_partition_id=306248980482&amp;matt_target_id=pla-306248980482&amp;gclid=Cj0KCQjw1PSDBhDbARIsAPeTqrcShF6JyWXQeKTOaCng8ywmgtQJ0Mob_uIPdMPmj5hZ9Jq0brGQC4YaAo-7EALw_wcB</v>
          </cell>
        </row>
        <row r="104">
          <cell r="B104" t="str">
            <v>MERCADO LIVRE</v>
          </cell>
          <cell r="C104" t="str">
            <v>Fita Led 5 Metros Silicone Prova Dagua Diversas Cores 12v</v>
          </cell>
          <cell r="D104">
            <v>5</v>
          </cell>
          <cell r="E104">
            <v>25.43</v>
          </cell>
          <cell r="F104" t="str">
            <v>https://produto.mercadolivre.com.br/MLB-681351286-fita-led-5-metros-silicone-prova-dagua-diversas-cores-12v-_JM?matt_tool=26177295&amp;matt_word&amp;gclid=CjwKCAiAis3vBRBdEiwAHXB29A8Knoa7HtdKafkqyCQYtRmnOpsY-tazuleAJFmE6753qeezAAq3ABoCu3sQAvD_BwE&amp;quantity=1&amp;variation=42140462001&amp;onAttributesExp=true</v>
          </cell>
        </row>
        <row r="105">
          <cell r="B105" t="str">
            <v>AMERICANAS.COM</v>
          </cell>
          <cell r="C105" t="str">
            <v>Fita Led 3528 5 Metros Branco Frio A Prova D'agua</v>
          </cell>
          <cell r="D105">
            <v>5</v>
          </cell>
          <cell r="E105">
            <v>26.68</v>
          </cell>
          <cell r="F105" t="str">
            <v>https://www.americanas.com.br/produto/106107069?pfm_carac=fita-de-led-branca-a-prova-dagua&amp;pfm_page=search&amp;pfm_pos=grid&amp;pfm_type=search_page</v>
          </cell>
        </row>
        <row r="107">
          <cell r="B107" t="str">
            <v>COTAÇÃO-22</v>
          </cell>
          <cell r="C107" t="str">
            <v>TOTEN INFORMATIVO DIGITAL</v>
          </cell>
          <cell r="D107" t="str">
            <v>UN</v>
          </cell>
          <cell r="E107">
            <v>3184.1266666666666</v>
          </cell>
          <cell r="F107"/>
        </row>
        <row r="108">
          <cell r="B108" t="str">
            <v>SHOPTIME</v>
          </cell>
          <cell r="C108" t="str">
            <v>Totem Digital com dispenser de álcool em gel automático</v>
          </cell>
          <cell r="D108" t="str">
            <v>UN</v>
          </cell>
          <cell r="E108">
            <v>4000</v>
          </cell>
          <cell r="F108" t="str">
            <v>https://www.shoptime.com.br/produto/2888385580/totem-digital-com-dispenser-de-alcool-em-gel-automatico?pfm_carac=totem%20digital&amp;pfm_index=4&amp;pfm_page=search&amp;pfm_pos=grid&amp;pfm_type=search_page</v>
          </cell>
        </row>
        <row r="109">
          <cell r="B109" t="str">
            <v>AMERICANAS.COM</v>
          </cell>
          <cell r="C109" t="str">
            <v>Totem 10 Polegadas Touchscreen Com Tablet Android - Idx Odroid</v>
          </cell>
          <cell r="D109" t="str">
            <v>UN</v>
          </cell>
          <cell r="E109">
            <v>2582.4</v>
          </cell>
          <cell r="F109" t="str">
            <v>https://www.americanas.com.br/produto/1648767626?pfm_carac=totem-polegadas&amp;pfm_index=21&amp;pfm_page=search&amp;pfm_pos=grid&amp;pfm_type=search_page</v>
          </cell>
        </row>
        <row r="110">
          <cell r="B110" t="str">
            <v>AMERICANAS.COM</v>
          </cell>
          <cell r="C110" t="str">
            <v>Totem 10 Polegadas Touchscreen Com Tablet Android - Idx Tablet</v>
          </cell>
          <cell r="D110" t="str">
            <v>UN</v>
          </cell>
          <cell r="E110">
            <v>2969.98</v>
          </cell>
          <cell r="F110" t="str">
            <v>https://www.americanas.com.br/produto/98036339/totem-digital-touch-screen-18-5-polegadas-com-impressora-nao-fiscal-1?WT.srch=1&amp;acc=e789ea56094489dffd798f86ff51c7a9&amp;cor=Branco&amp;epar=bp_pl_00_go_pla_aic_geral_gmv&amp;gclid=CjwKCAiAlO7uBRANEiwA_vXQ-4nL0HsRkB85GWMzrO4LxQHGZDI4u9UQOS68_dGlvY1TM6rQhKGO2hoCE5sQAvD_BwE&amp;i=5d09a70c49f937f6255923cc&amp;o=5d2a05be6c28a3cb502a0344&amp;opn=YSMESP&amp;sellerId=10725585000160&amp;sellerid=10725585000160&amp;voltagem=220V&amp;wt.srch=1</v>
          </cell>
        </row>
        <row r="111">
          <cell r="E111"/>
        </row>
        <row r="112">
          <cell r="B112" t="str">
            <v>COTAÇÃO-23</v>
          </cell>
          <cell r="C112" t="str">
            <v>LOUSA INTERATIVA 80"</v>
          </cell>
          <cell r="D112" t="str">
            <v xml:space="preserve">UN </v>
          </cell>
          <cell r="E112">
            <v>2455.4533333333334</v>
          </cell>
          <cell r="F112"/>
        </row>
        <row r="113">
          <cell r="B113" t="str">
            <v>MERCADO LIVRE</v>
          </cell>
          <cell r="C113" t="str">
            <v>Lousa Interativa Portátil Ebeam Projection Classic S3 Usb</v>
          </cell>
          <cell r="D113" t="str">
            <v xml:space="preserve">UN </v>
          </cell>
          <cell r="E113">
            <v>2290</v>
          </cell>
          <cell r="F113" t="str">
            <v>https://produto.mercadolivre.com.br/MLB-1778475598-lousa-interativa-portatil-ebeam-projection-classic-s3-usb-_JM#reco_item_pos=3&amp;reco_backend=machinalis-p2p&amp;reco_backend_type=low_level&amp;reco_client=vip&amp;reco_id=ee43e041-1a97-4869-bb99-6f0a28f21f85</v>
          </cell>
        </row>
        <row r="114">
          <cell r="B114" t="str">
            <v>MERCADO LIVRE</v>
          </cell>
          <cell r="C114" t="str">
            <v>Lousa Interativa Trace Board Tb-9100 / 100</v>
          </cell>
          <cell r="D114" t="str">
            <v xml:space="preserve">UN </v>
          </cell>
          <cell r="E114">
            <v>2286.36</v>
          </cell>
          <cell r="F114" t="str">
            <v>https://produto.mercadolivre.com.br/MLB-1613121508-lousa-interativa-trace-board-tb-9100-100-_JM#reco_item_pos=4&amp;reco_backend=machinalis-domain-pads&amp;reco_backend_type=low_level&amp;reco_client=vip-pads&amp;reco_id=7cbb3871-17b1-4bac-a90b-dbea786c8a7c&amp;is_advertising=true&amp;ad_domain=VIPCORE_RECOMMENDED&amp;ad_position=5&amp;ad_click_id=YTMzMGFmZWEtNGNkMy00M2U2LTk5ODgtMDY5MWQxYjdjOWUz</v>
          </cell>
        </row>
        <row r="115">
          <cell r="B115" t="str">
            <v>EXTRA.COM</v>
          </cell>
          <cell r="C115" t="str">
            <v>Lousa Interativa Trace Board Tb-9083 / 83´´</v>
          </cell>
          <cell r="D115" t="str">
            <v xml:space="preserve">UN </v>
          </cell>
          <cell r="E115">
            <v>2790</v>
          </cell>
          <cell r="F115" t="str">
            <v>https://www.extra.com.br/lousa-interativa-trace-board-tb-9083-83-1512100602/p/1512100602?utm_medium=cpc&amp;utm_source=GP_PLA&amp;IdSku=1512100602&amp;idLojista=11121&amp;utm_campaign=prod_shopping_3p&amp;gclid=Cj0KCQjw1PSDBhDbARIsAPeTqrdmkoxmCgEpMr69XqadCKdpDAdpwanh3SdREZg_So4yBs05a4QKseMaAnUoEALw_wcB</v>
          </cell>
        </row>
        <row r="117">
          <cell r="B117" t="str">
            <v>COTAÇÃO-24</v>
          </cell>
          <cell r="C117" t="str">
            <v>BONECO / MANEQUIM COM BASE</v>
          </cell>
          <cell r="D117" t="str">
            <v xml:space="preserve">UN </v>
          </cell>
          <cell r="E117">
            <v>355.98333333333335</v>
          </cell>
          <cell r="F117"/>
        </row>
        <row r="118">
          <cell r="B118" t="str">
            <v>MERCADO LIVRE</v>
          </cell>
          <cell r="C118" t="str">
            <v>Manequim Masculino Completo Cabeça De Ovo Branca</v>
          </cell>
          <cell r="D118" t="str">
            <v xml:space="preserve">UN </v>
          </cell>
          <cell r="E118">
            <v>300</v>
          </cell>
          <cell r="F118" t="str">
            <v>https://produto.mercadolivre.com.br/MLB-1717500673-manequim-masculino-completo-cabeca-de-ovo-branca-_JM#position=1&amp;type=item&amp;tracking_id=282a5048-5741-4120-82f4-9d1ef13405a0</v>
          </cell>
        </row>
        <row r="119">
          <cell r="B119" t="str">
            <v>MERCADO LIVRE</v>
          </cell>
          <cell r="C119" t="str">
            <v>Manequim Masculino Bombado + Base De Brinde</v>
          </cell>
          <cell r="D119" t="str">
            <v xml:space="preserve">UN </v>
          </cell>
          <cell r="E119">
            <v>380</v>
          </cell>
          <cell r="F119" t="str">
            <v>https://produto.mercadolivre.com.br/MLB-1078797180-manequim-masculino-bombado-base-de-brinde-_JM#position=4&amp;type=item&amp;tracking_id=143602de-35b2-42eb-ae20-32df9f83eda7</v>
          </cell>
        </row>
        <row r="120">
          <cell r="B120" t="str">
            <v>EQUIPANDO LOJA</v>
          </cell>
          <cell r="C120" t="str">
            <v>MANEQUIM DE PLÁSTICO MASCULINO EROS BEGE (SEM BASE)</v>
          </cell>
          <cell r="D120" t="str">
            <v xml:space="preserve">UN </v>
          </cell>
          <cell r="E120">
            <v>387.95</v>
          </cell>
          <cell r="F120" t="str">
            <v>https://www.equipandoloja.net.br/prod,idproduto,3337161,manequins-manequins-masculinos-manequim-de-plastico-masculino-eros-bege--sem-base-</v>
          </cell>
        </row>
        <row r="122">
          <cell r="B122" t="str">
            <v>COTAÇÃO-25</v>
          </cell>
          <cell r="C122" t="str">
            <v>TELEVISÃO 32"</v>
          </cell>
          <cell r="D122" t="str">
            <v xml:space="preserve">UN </v>
          </cell>
          <cell r="E122">
            <v>1691.8466666666666</v>
          </cell>
          <cell r="F122"/>
        </row>
        <row r="123">
          <cell r="B123" t="str">
            <v>AMERICANAS.COM</v>
          </cell>
          <cell r="C123" t="str">
            <v>Smart TV LED 32" Samsung 32J4290 HD com Conversor Digital 2 HDMI 1 USB Wi-Fi 60Hz - Preta</v>
          </cell>
          <cell r="D123" t="str">
            <v xml:space="preserve">UN </v>
          </cell>
          <cell r="E123">
            <v>1890.5</v>
          </cell>
          <cell r="F123" t="str">
            <v>https://www.americanas.com.br/produto/133791184?pfm_carac=smart-tv-led-32-samsung&amp;pfm_index=2&amp;pfm_page=search&amp;pfm_pos=grid&amp;pfm_type=search_page</v>
          </cell>
        </row>
        <row r="124">
          <cell r="B124" t="str">
            <v>AMERICANAS.COM</v>
          </cell>
          <cell r="C124" t="str">
            <v>Smart Tv 32" Hd Led 2 Hdmi Usb Wifi Panasonic Bivolt</v>
          </cell>
          <cell r="D124" t="str">
            <v xml:space="preserve">UN </v>
          </cell>
          <cell r="E124">
            <v>1785.05</v>
          </cell>
          <cell r="F124" t="str">
            <v>https://www.americanas.com.br/produto/2780301188?pfm_carac=smart-tv-led-32-britania&amp;pfm_index=23&amp;pfm_page=search&amp;pfm_pos=grid&amp;pfm_type=search_page&amp;voltagem=%5BBivolt%5D</v>
          </cell>
        </row>
        <row r="125">
          <cell r="B125" t="str">
            <v>AMERICANAS.COM</v>
          </cell>
          <cell r="C125" t="str">
            <v>Smart TV Led 32" LG HD Thinq AI Conversor Digital Integrado 3 HDMI 2 USB Wi-Fi - Preta</v>
          </cell>
          <cell r="D125" t="str">
            <v xml:space="preserve">UN </v>
          </cell>
          <cell r="E125">
            <v>1399.99</v>
          </cell>
          <cell r="F125" t="str">
            <v>https://www.americanas.com.br/produto/196137569/smart-tv-32-lg-32lk611c-led-hd-conversor-digital?pfm_carac=32%27%27&amp;pfm_index=2&amp;pfm_page=search&amp;pfm_pos=grid&amp;pfm_type=search_page</v>
          </cell>
        </row>
        <row r="127">
          <cell r="B127" t="str">
            <v>COTAÇÃO-26</v>
          </cell>
          <cell r="C127" t="str">
            <v>MESA EXPOSITORA</v>
          </cell>
          <cell r="D127" t="str">
            <v xml:space="preserve">UN </v>
          </cell>
          <cell r="E127">
            <v>570.16</v>
          </cell>
          <cell r="F127"/>
        </row>
        <row r="128">
          <cell r="B128" t="str">
            <v>MERCADO LIVRE</v>
          </cell>
          <cell r="C128" t="str">
            <v>Nicho Expositor Iluminação Led Vidro Temperado</v>
          </cell>
          <cell r="D128" t="str">
            <v xml:space="preserve">UN </v>
          </cell>
          <cell r="E128">
            <v>899.99</v>
          </cell>
          <cell r="F128" t="str">
            <v>https://www.americanas.com.br/produto/55809975?WT.srch=1&amp;opn=YSMESP&amp;sellerid=18552346000168&amp;epar=bp_pl_00_go_mv_todas_geral_gmv&amp;acc=e789ea56094489dffd798f86ff51c7a9&amp;i=56f30ab2eec3dfb1f8ebb847&amp;o=5c8bf42c6c28a3cb5085cb1d&amp;gclid=Cj0KCQjw1PSDBhDbARIsAPeTqrf00BMn8vw-O9vJDyFQve8WkVUiVKVFs_zksM6lKjX9f0AlVuU7GYwaAkFvEALw_wcB</v>
          </cell>
        </row>
        <row r="129">
          <cell r="B129" t="str">
            <v>MERCADO LIVRE</v>
          </cell>
          <cell r="C129" t="str">
            <v>Vitrine Suspensa Expositor Fechadura Porta Vidro Temperado</v>
          </cell>
          <cell r="D129" t="str">
            <v xml:space="preserve">UN </v>
          </cell>
          <cell r="E129">
            <v>439.99</v>
          </cell>
          <cell r="F129" t="str">
            <v>https://www.americanas.com.br/produto/54152888?pfm_carac=quem%20viu%20este%20produto%2C%20viu%20tamb%C3%A9m&amp;pfm_index=2&amp;pfm_pos=&amp;pfm_type=vit_recommendation&amp;DCSext.recom=RR_item_page.rr1-ClickEV&amp;nm_origem=rec_item_page.rr1-ClickEV&amp;nm_ranking_rec=3</v>
          </cell>
        </row>
        <row r="130">
          <cell r="B130" t="str">
            <v>AMERICANAS.COM</v>
          </cell>
          <cell r="C130" t="str">
            <v>Vitrine MDF com Vidro e Led - 20 x 44 x 70cm Parede ou Balcão.</v>
          </cell>
          <cell r="D130" t="str">
            <v xml:space="preserve">UN </v>
          </cell>
          <cell r="E130">
            <v>370.5</v>
          </cell>
          <cell r="F130" t="str">
            <v>https://www.americanas.com.br/produto/64127582/mesa-manicure-esmalteiro-porta-toalha-tampo-vidro-gaveta?pfm_carac=mesa%20gaveta%20vidro&amp;pfm_index=8&amp;pfm_page=search&amp;pfm_pos=grid&amp;pfm_type=search_page</v>
          </cell>
        </row>
        <row r="132">
          <cell r="B132" t="str">
            <v>COTAÇÃO-27</v>
          </cell>
          <cell r="C132" t="str">
            <v>LOUSA BRANCA</v>
          </cell>
          <cell r="D132" t="str">
            <v xml:space="preserve">UN </v>
          </cell>
          <cell r="E132">
            <v>94.720000000000013</v>
          </cell>
          <cell r="F132"/>
        </row>
        <row r="133">
          <cell r="B133" t="str">
            <v>MERCADO LIVRE</v>
          </cell>
          <cell r="C133" t="str">
            <v>Lousa Quadro Branco Moldura De Madeira 120x90cm + 2 Canetas</v>
          </cell>
          <cell r="D133" t="str">
            <v xml:space="preserve">UN </v>
          </cell>
          <cell r="E133">
            <v>99.9</v>
          </cell>
          <cell r="F133" t="str">
            <v>https://produto.mercadolivre.com.br/MLB-1846735772-lousa-quadro-branco-moldura-de-madeira-120x90cm-2-canetas-_JM#reco_item_pos=2&amp;reco_backend=machinalis-seller-items-pdp&amp;reco_backend_type=low_level&amp;reco_client=vip-seller_items-above&amp;reco_id=88ca5777-e71e-4bcc-90fe-fc954b16a041</v>
          </cell>
        </row>
        <row r="134">
          <cell r="B134" t="str">
            <v>EXTRA.COM</v>
          </cell>
          <cell r="C134" t="str">
            <v>Quadro Branco Hidrográfico 100X80Cm Alumínio Clean W Mill</v>
          </cell>
          <cell r="D134" t="str">
            <v xml:space="preserve">UN </v>
          </cell>
          <cell r="E134">
            <v>80.77</v>
          </cell>
          <cell r="F134" t="str">
            <v>https://www.extra.com.br/decoracao/QuadrosePlacas/quadro-branco-hidrografico-100x80cm-aluminio-clean-w-mill-1511621103.html?IdSku=1511621103</v>
          </cell>
        </row>
        <row r="135">
          <cell r="B135" t="str">
            <v xml:space="preserve">MAGAZINE LUIZA </v>
          </cell>
          <cell r="C135" t="str">
            <v>Quadro Branco Hidrográfico 100X80Cm Alumínio Clean W Mill</v>
          </cell>
          <cell r="D135" t="str">
            <v xml:space="preserve">UN </v>
          </cell>
          <cell r="E135">
            <v>103.49</v>
          </cell>
          <cell r="F135" t="str">
            <v>https://www.magazineluiza.com.br/quadro-branco-100x80-com-moldura-de-madeira-souza/p/ee6jb7g35h/rc/rcnm/</v>
          </cell>
        </row>
        <row r="137">
          <cell r="B137" t="str">
            <v>COTAÇÃO-28</v>
          </cell>
          <cell r="C137" t="str">
            <v>SUPORTE ANTIFURTO COM GAIOLA P/ PROJETOR</v>
          </cell>
          <cell r="D137" t="str">
            <v xml:space="preserve">UN </v>
          </cell>
          <cell r="E137">
            <v>431.0333333333333</v>
          </cell>
          <cell r="F137"/>
        </row>
        <row r="138">
          <cell r="B138" t="str">
            <v>MERCADO LIVRE</v>
          </cell>
          <cell r="C138" t="str">
            <v>Suporte Antifurto Gaiola Bco P/projetor Regulagem Multivisão</v>
          </cell>
          <cell r="D138" t="str">
            <v xml:space="preserve">UN </v>
          </cell>
          <cell r="E138">
            <v>479.9</v>
          </cell>
          <cell r="F138" t="str">
            <v>https://produto.mercadolivre.com.br/MLB-688937549-suporte-antifurto-gaiola-bco-pprojetor-regulagem-multiviso-_JM?matt_tool=79246729&amp;matt_word&amp;gclid=Cj0KCQiAiNnuBRD3ARIsAM8KmltS8j1fmoc6qP4lH0S-ymu0Qh5JnHW7q7R9MP3s-s65EVixBJbe30EaAu2zEALw_wcB&amp;quantity=1&amp;variation=45920707362&amp;onAttributesExp=true</v>
          </cell>
        </row>
        <row r="139">
          <cell r="B139" t="str">
            <v>MERCADO LIVRE</v>
          </cell>
          <cell r="C139" t="str">
            <v>Suporte De Teto Com Inclinação Para Projetor Gaiola Branco</v>
          </cell>
          <cell r="D139" t="str">
            <v xml:space="preserve">UN </v>
          </cell>
          <cell r="E139">
            <v>459.9</v>
          </cell>
          <cell r="F139" t="str">
            <v>https://produto.mercadolivre.com.br/MLB-1333361826-suporte-para-projetor-de-teto-antifurto-_JM?quantity=1#position=6&amp;type=item&amp;tracking_id=2b69656d-f575-4ba1-93d8-e693e706cbc4</v>
          </cell>
        </row>
        <row r="140">
          <cell r="B140" t="str">
            <v>AMERICANAS.COM</v>
          </cell>
          <cell r="C140" t="str">
            <v>Gaiola Suporte De Teto Com Inclinação Para Projetor. Anti-furto (ajuste De Altura De 300 A 500mm</v>
          </cell>
          <cell r="D140" t="str">
            <v xml:space="preserve">UN </v>
          </cell>
          <cell r="E140">
            <v>353.3</v>
          </cell>
          <cell r="F140" t="str">
            <v>https://www.americanas.com.br/produto/46904517?opn=YSMESP&amp;sellerid=11287469000170&amp;epar=bp_pl_00_go_inf-aces_acessorios_geral_gmv&amp;WT.srch=1&amp;acc=e789ea56094489dffd798f86ff51c7a9&amp;i=582fd1beeec3dfb1f86b0f2d&amp;o=5ca7542d6c28a3cb509a40bf&amp;gclid=Cj0KCQjw1PSDBhDbARIsAPeTqrdilNZVYEcFe0S6loJLqBOhWbjpLNhYfap-pQVNoJZhvp8d8tfsJv0aAoc9EALw_wcB&amp;cor=Preto</v>
          </cell>
        </row>
        <row r="142">
          <cell r="B142" t="str">
            <v>COTAÇÃO-29</v>
          </cell>
          <cell r="C142" t="str">
            <v>TOTEN DISPLAY ACRÍLICO</v>
          </cell>
          <cell r="D142" t="str">
            <v xml:space="preserve">UN </v>
          </cell>
          <cell r="E142">
            <v>1827.58</v>
          </cell>
          <cell r="F142"/>
        </row>
        <row r="143">
          <cell r="B143" t="str">
            <v>MERCADO LIVRE</v>
          </cell>
          <cell r="C143" t="str">
            <v>Totem Display Acrilico Personalizado 1.20m P/ Lojas Eventos</v>
          </cell>
          <cell r="D143" t="str">
            <v xml:space="preserve">UN </v>
          </cell>
          <cell r="E143">
            <v>1946.37</v>
          </cell>
          <cell r="F143" t="str">
            <v>https://produto.mercadolivre.com.br/MLB-1068810185-totem-display-acrilico-personalizado-120m-p-lojas-eventos-_JM?quantity=1#position=1&amp;type=item&amp;tracking_id=faa0d380-5378-4067-a597-12063b53cf60</v>
          </cell>
        </row>
        <row r="144">
          <cell r="B144" t="str">
            <v>MERCADO LIVRE</v>
          </cell>
          <cell r="C144" t="str">
            <v>Expositor Totem De Acrilico 1.20m - Direto De Fábrica</v>
          </cell>
          <cell r="D144" t="str">
            <v xml:space="preserve">UN </v>
          </cell>
          <cell r="E144">
            <v>1590</v>
          </cell>
          <cell r="F144" t="str">
            <v>https://produto.mercadolivre.com.br/MLB-1068838073-expositor-totem-de-acrilico-120m-direto-de-fabrica-_JM#position=3&amp;type=item&amp;tracking_id=88381a9b-3785-4b98-8137-d6589db6aa98</v>
          </cell>
        </row>
        <row r="145">
          <cell r="B145" t="str">
            <v>AMERICANAS.COM</v>
          </cell>
          <cell r="C145" t="str">
            <v>Totem Display Acrilico Personalizado 1.20m P/ Lojas Eventos</v>
          </cell>
          <cell r="D145" t="str">
            <v xml:space="preserve">UN </v>
          </cell>
          <cell r="E145">
            <v>1946.37</v>
          </cell>
          <cell r="F145" t="str">
            <v>https://produto.mercadolivre.com.br/MLB-1068810185-totem-display-acrilico-personalizado-120m-p-lojas-eventos-_JM#reco_item_pos=0&amp;reco_backend=machinalis-v2p-pdp-boost-v2&amp;reco_backend_type=low_level&amp;reco_client=vip-v2p&amp;reco_id=7ec5ca66-4162-45c3-9d25-c0183025a2a3</v>
          </cell>
        </row>
        <row r="147">
          <cell r="B147" t="str">
            <v>COTAÇÃO-30</v>
          </cell>
          <cell r="C147" t="str">
            <v>MESA DE ESCRITÓRIO</v>
          </cell>
          <cell r="D147" t="str">
            <v xml:space="preserve">UN </v>
          </cell>
          <cell r="E147">
            <v>297.79666666666668</v>
          </cell>
          <cell r="F147"/>
        </row>
        <row r="148">
          <cell r="B148" t="str">
            <v>MERCADO LIVRE</v>
          </cell>
          <cell r="C148" t="str">
            <v>Mesa Escritório Computador Trevalla Industrial Carvalho</v>
          </cell>
          <cell r="D148">
            <v>1</v>
          </cell>
          <cell r="E148">
            <v>308.60000000000002</v>
          </cell>
          <cell r="F148" t="str">
            <v>https://produto.mercadolivre.com.br/MLB-1229179389-mesa-escritorio-computador-trevalla-industrial-carvalho-_JM?matt_tool=26177295&amp;matt_word&amp;gclid=CjwKCAiAlO7uBRANEiwA_vXQ-2HRCN-V1uZbHuH7OOy5AaiOSMbHcseBlmO9hp_AR_yweAo97nZhzBoCBOUQAvD_BwE&amp;quantity=1&amp;variation=37133850748</v>
          </cell>
        </row>
        <row r="149">
          <cell r="B149" t="str">
            <v>PONTO FRIO</v>
          </cell>
          <cell r="C149" t="str">
            <v>Mesa de Jantar Retangular Industrial Stanford Carvalho e Preta 160 cm</v>
          </cell>
          <cell r="D149">
            <v>1</v>
          </cell>
          <cell r="E149">
            <v>249.89</v>
          </cell>
          <cell r="F149" t="str">
            <v>https://www.madeiramadeira.com.br/mesa-para-escritorio-diretor-estilo-industrial-1-50m-kuadra-512596.html?origem=pla-512596&amp;utm_source=google&amp;utm_medium=cpc&amp;utm_content=mesas-para-escritorio&amp;utm_term=&amp;utm_id=10876423642&amp;gclid=Cj0KCQjw1PSDBhDbARIsAPeTqrcDeumBo2-RMZjEFZPx-syxmb_W5yaipSXQ9yneAxWJt2g9HHwFfzoaAqiJEALw_wcB</v>
          </cell>
        </row>
        <row r="150">
          <cell r="B150" t="str">
            <v>AMERICANAS.COM</v>
          </cell>
          <cell r="C150" t="str">
            <v>Mesa Para Escritório Home Office Estilo Industrial Form C01 150 cm Nogal - Lyam Decor</v>
          </cell>
          <cell r="D150">
            <v>1</v>
          </cell>
          <cell r="E150">
            <v>334.9</v>
          </cell>
          <cell r="F150" t="str">
            <v>https://www.mobly.com.br/mesa-para-escritorio-home-office-estilo-industrial-form-c01-150-cm-nogal-lyam-decor-687961.html?syte_ref=personalization</v>
          </cell>
        </row>
        <row r="152">
          <cell r="B152" t="str">
            <v>COTAÇÃO-31</v>
          </cell>
          <cell r="C152" t="str">
            <v>CAIXA DE SOM</v>
          </cell>
          <cell r="D152" t="str">
            <v xml:space="preserve">UN </v>
          </cell>
          <cell r="E152">
            <v>147.80333333333331</v>
          </cell>
          <cell r="F152"/>
        </row>
        <row r="153">
          <cell r="B153" t="str">
            <v>KABUM</v>
          </cell>
          <cell r="C153" t="str">
            <v>Caixa de Som Multilaser Multimídia 2.1 14W RMS USB SP172</v>
          </cell>
          <cell r="D153">
            <v>1</v>
          </cell>
          <cell r="E153">
            <v>92.9</v>
          </cell>
          <cell r="F153" t="str">
            <v>https://www.kabum.com.br/cgi-local/site/produtos/descricao_ofertas.cgi?codigo=95169</v>
          </cell>
        </row>
        <row r="154">
          <cell r="B154" t="str">
            <v>MERCADO LIVRE</v>
          </cell>
          <cell r="C154" t="str">
            <v>Caixa de Som Multilaser Multimídia 2.1 14W RMS USB SP172</v>
          </cell>
          <cell r="D154">
            <v>1</v>
          </cell>
          <cell r="E154">
            <v>123</v>
          </cell>
          <cell r="F154" t="str">
            <v>https://www.mercadolivre.com.br/caixa-de-som-multilaser-sp172-preta-110v220v/p/MLB15964038#searchVariation=MLB15964038&amp;position=5&amp;type=product&amp;tracking_id=fd06c6c3-224a-4562-9a53-ecc1d529de9e</v>
          </cell>
        </row>
        <row r="155">
          <cell r="B155" t="str">
            <v>AMERICANAS.COM</v>
          </cell>
          <cell r="C155" t="str">
            <v>Caixa de Som Multilaser Multimídia 2.1 14W RMS USB SP172</v>
          </cell>
          <cell r="D155">
            <v>1</v>
          </cell>
          <cell r="E155">
            <v>227.51</v>
          </cell>
          <cell r="F155" t="str">
            <v>https://www.americanas.com.br/produto/52252644?opn=YSMESP&amp;sellerid=7427215000132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1 Isaias">
  <a:themeElements>
    <a:clrScheme name="Isaias">
      <a:dk1>
        <a:sysClr val="windowText" lastClr="000000"/>
      </a:dk1>
      <a:lt1>
        <a:sysClr val="window" lastClr="FFFFFF"/>
      </a:lt1>
      <a:dk2>
        <a:srgbClr val="0000FF"/>
      </a:dk2>
      <a:lt2>
        <a:srgbClr val="FEFAC9"/>
      </a:lt2>
      <a:accent1>
        <a:srgbClr val="98AA82"/>
      </a:accent1>
      <a:accent2>
        <a:srgbClr val="FF0000"/>
      </a:accent2>
      <a:accent3>
        <a:srgbClr val="E7BC29"/>
      </a:accent3>
      <a:accent4>
        <a:srgbClr val="FFEFF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view="pageBreakPreview" zoomScale="145" zoomScaleNormal="100" zoomScaleSheetLayoutView="145" workbookViewId="0">
      <selection activeCell="D16" sqref="D16"/>
    </sheetView>
  </sheetViews>
  <sheetFormatPr defaultRowHeight="15"/>
  <cols>
    <col min="2" max="2" width="36.7109375" customWidth="1"/>
    <col min="3" max="6" width="16.5703125" customWidth="1"/>
  </cols>
  <sheetData>
    <row r="1" spans="1:6" ht="30.75" customHeight="1" thickTop="1" thickBot="1">
      <c r="A1" s="221" t="s">
        <v>302</v>
      </c>
      <c r="B1" s="219"/>
      <c r="C1" s="219"/>
      <c r="D1" s="219"/>
      <c r="E1" s="219"/>
      <c r="F1" s="220"/>
    </row>
    <row r="2" spans="1:6" ht="15.75" thickTop="1"/>
    <row r="3" spans="1:6" ht="37.5" customHeight="1">
      <c r="A3" s="222" t="s">
        <v>137</v>
      </c>
      <c r="B3" s="223" t="s">
        <v>299</v>
      </c>
      <c r="C3" s="223" t="s">
        <v>284</v>
      </c>
      <c r="D3" s="224" t="s">
        <v>300</v>
      </c>
      <c r="E3" s="223" t="s">
        <v>291</v>
      </c>
      <c r="F3" s="225" t="s">
        <v>301</v>
      </c>
    </row>
    <row r="4" spans="1:6" ht="21.95" customHeight="1">
      <c r="A4" s="226">
        <v>1</v>
      </c>
      <c r="B4" s="227" t="str">
        <f>UPPER(VLOOKUP(A4,PLANILHA!A:J,4,0))</f>
        <v>SERVIÇOS INCIAIS</v>
      </c>
      <c r="C4" s="230">
        <f>VLOOKUP(A4,PLANILHA!A:J,10,0)</f>
        <v>0</v>
      </c>
      <c r="D4" s="230">
        <f>C4*0.0887</f>
        <v>0</v>
      </c>
      <c r="E4" s="230">
        <f>(D4+C4)*0.2226</f>
        <v>0</v>
      </c>
      <c r="F4" s="231">
        <f>SUM(C4:E4)</f>
        <v>0</v>
      </c>
    </row>
    <row r="5" spans="1:6" ht="21.95" customHeight="1">
      <c r="A5" s="226">
        <v>2</v>
      </c>
      <c r="B5" s="227" t="str">
        <f>UPPER(VLOOKUP(A5,PLANILHA!A:J,4,0))</f>
        <v>RESTAURO</v>
      </c>
      <c r="C5" s="230">
        <f>VLOOKUP(A5,PLANILHA!A:J,10,0)</f>
        <v>0</v>
      </c>
      <c r="D5" s="230">
        <f t="shared" ref="D5:D7" si="0">C5*0.0887</f>
        <v>0</v>
      </c>
      <c r="E5" s="230">
        <f t="shared" ref="E5:E7" si="1">(D5+C5)*0.2226</f>
        <v>0</v>
      </c>
      <c r="F5" s="231">
        <f t="shared" ref="F5:F7" si="2">SUM(C5:E5)</f>
        <v>0</v>
      </c>
    </row>
    <row r="6" spans="1:6" ht="21.95" customHeight="1">
      <c r="A6" s="226">
        <v>3</v>
      </c>
      <c r="B6" s="227" t="str">
        <f>UPPER(VLOOKUP(A6,PLANILHA!A:J,4,0))</f>
        <v>CONTENÇÕES E COBERTURAS</v>
      </c>
      <c r="C6" s="230">
        <f>VLOOKUP(A6,PLANILHA!A:J,10,0)</f>
        <v>0</v>
      </c>
      <c r="D6" s="230">
        <f t="shared" si="0"/>
        <v>0</v>
      </c>
      <c r="E6" s="230">
        <f t="shared" si="1"/>
        <v>0</v>
      </c>
      <c r="F6" s="231">
        <f t="shared" si="2"/>
        <v>0</v>
      </c>
    </row>
    <row r="7" spans="1:6" ht="21.95" customHeight="1">
      <c r="A7" s="226">
        <v>4</v>
      </c>
      <c r="B7" s="227" t="str">
        <f>UPPER(VLOOKUP(A7,PLANILHA!A:J,4,0))</f>
        <v>LIMPEZA GERAL FINAL</v>
      </c>
      <c r="C7" s="230">
        <f>VLOOKUP(A7,PLANILHA!A:J,10,0)</f>
        <v>0</v>
      </c>
      <c r="D7" s="230">
        <f t="shared" si="0"/>
        <v>0</v>
      </c>
      <c r="E7" s="230">
        <f t="shared" si="1"/>
        <v>0</v>
      </c>
      <c r="F7" s="231">
        <f t="shared" si="2"/>
        <v>0</v>
      </c>
    </row>
    <row r="8" spans="1:6" ht="21.95" customHeight="1">
      <c r="A8" s="228"/>
      <c r="B8" s="229" t="s">
        <v>18</v>
      </c>
      <c r="C8" s="232">
        <f>SUM(C4:C7)</f>
        <v>0</v>
      </c>
      <c r="D8" s="232">
        <f t="shared" ref="D8:F8" si="3">SUM(D4:D7)</f>
        <v>0</v>
      </c>
      <c r="E8" s="232">
        <f t="shared" si="3"/>
        <v>0</v>
      </c>
      <c r="F8" s="233">
        <f t="shared" si="3"/>
        <v>0</v>
      </c>
    </row>
    <row r="9" spans="1:6" ht="21.95" customHeight="1"/>
  </sheetData>
  <pageMargins left="0.511811024" right="0.511811024" top="1.2129166666666666" bottom="0.78740157499999996" header="0.31496062000000002" footer="0.31496062000000002"/>
  <pageSetup paperSize="9" scale="82" orientation="portrait" r:id="rId1"/>
  <headerFooter>
    <oddHeader>&amp;CPE ILHA ANCHIETA
RESTAURO E CONTENÇÃO RUÍNAS&amp;RPlanilha de Custos
 CDHU 190 - 06/2023
SINAPI - 06/2023
ORSE - 06/2023
COTAÇÕES DE MERCADO - atualizadas INCC 06/2023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4"/>
  <sheetViews>
    <sheetView showGridLines="0" tabSelected="1" view="pageBreakPreview" zoomScale="90" zoomScaleNormal="90" zoomScaleSheetLayoutView="90" workbookViewId="0">
      <selection activeCell="L52" sqref="L52"/>
    </sheetView>
  </sheetViews>
  <sheetFormatPr defaultColWidth="9.140625" defaultRowHeight="14.25"/>
  <cols>
    <col min="1" max="1" width="10.42578125" style="50" customWidth="1"/>
    <col min="2" max="3" width="21.140625" style="51" customWidth="1"/>
    <col min="4" max="4" width="100.7109375" style="1" customWidth="1"/>
    <col min="5" max="5" width="10.140625" style="52" bestFit="1" customWidth="1"/>
    <col min="6" max="6" width="13.7109375" style="25" customWidth="1"/>
    <col min="7" max="7" width="15.7109375" style="25" customWidth="1"/>
    <col min="8" max="9" width="16.42578125" style="25" bestFit="1" customWidth="1"/>
    <col min="10" max="10" width="20" style="25" bestFit="1" customWidth="1"/>
    <col min="11" max="11" width="9.140625" style="1"/>
    <col min="12" max="12" width="18.85546875" style="1" customWidth="1"/>
    <col min="13" max="13" width="16.85546875" style="1" customWidth="1"/>
    <col min="14" max="16384" width="9.140625" style="1"/>
  </cols>
  <sheetData>
    <row r="1" spans="1:10" ht="18" customHeight="1">
      <c r="A1" s="306" t="s">
        <v>0</v>
      </c>
      <c r="B1" s="308"/>
      <c r="C1" s="308"/>
      <c r="D1" s="308" t="s">
        <v>1</v>
      </c>
      <c r="E1" s="310" t="s">
        <v>2</v>
      </c>
      <c r="F1" s="312" t="s">
        <v>3</v>
      </c>
      <c r="G1" s="314" t="s">
        <v>4</v>
      </c>
      <c r="H1" s="314"/>
      <c r="I1" s="314"/>
      <c r="J1" s="315"/>
    </row>
    <row r="2" spans="1:10" ht="18" customHeight="1">
      <c r="A2" s="307"/>
      <c r="B2" s="309"/>
      <c r="C2" s="309"/>
      <c r="D2" s="309"/>
      <c r="E2" s="311"/>
      <c r="F2" s="313"/>
      <c r="G2" s="2" t="s">
        <v>5</v>
      </c>
      <c r="H2" s="2" t="s">
        <v>6</v>
      </c>
      <c r="I2" s="2" t="s">
        <v>7</v>
      </c>
      <c r="J2" s="3" t="s">
        <v>8</v>
      </c>
    </row>
    <row r="3" spans="1:10" ht="18" customHeight="1">
      <c r="A3" s="202">
        <v>1</v>
      </c>
      <c r="B3" s="203" t="s">
        <v>23</v>
      </c>
      <c r="C3" s="204" t="s">
        <v>24</v>
      </c>
      <c r="D3" s="213" t="s">
        <v>9</v>
      </c>
      <c r="E3" s="205"/>
      <c r="F3" s="215"/>
      <c r="G3" s="216"/>
      <c r="H3" s="216"/>
      <c r="I3" s="217"/>
      <c r="J3" s="218">
        <f>SUM(J5:J18)</f>
        <v>0</v>
      </c>
    </row>
    <row r="4" spans="1:10" ht="18" customHeight="1">
      <c r="A4" s="5" t="s">
        <v>10</v>
      </c>
      <c r="B4" s="6"/>
      <c r="C4" s="53"/>
      <c r="D4" s="7" t="s">
        <v>50</v>
      </c>
      <c r="E4" s="8"/>
      <c r="F4" s="9"/>
      <c r="G4" s="10"/>
      <c r="H4" s="10"/>
      <c r="I4" s="11"/>
      <c r="J4" s="201"/>
    </row>
    <row r="5" spans="1:10">
      <c r="A5" s="12" t="s">
        <v>25</v>
      </c>
      <c r="B5" s="54" t="s">
        <v>309</v>
      </c>
      <c r="C5" s="54" t="s">
        <v>310</v>
      </c>
      <c r="D5" s="55" t="s">
        <v>91</v>
      </c>
      <c r="E5" s="13" t="s">
        <v>311</v>
      </c>
      <c r="F5" s="13">
        <v>15</v>
      </c>
      <c r="G5" s="155"/>
      <c r="H5" s="156"/>
      <c r="I5" s="156">
        <f>ROUND(G5+H5,2)</f>
        <v>0</v>
      </c>
      <c r="J5" s="154">
        <f>ROUND(I5*F5,2)</f>
        <v>0</v>
      </c>
    </row>
    <row r="6" spans="1:10">
      <c r="A6" s="12" t="s">
        <v>27</v>
      </c>
      <c r="B6" s="54" t="s">
        <v>312</v>
      </c>
      <c r="C6" s="54" t="s">
        <v>310</v>
      </c>
      <c r="D6" s="55" t="s">
        <v>313</v>
      </c>
      <c r="E6" s="13" t="s">
        <v>270</v>
      </c>
      <c r="F6" s="13">
        <v>1</v>
      </c>
      <c r="G6" s="155"/>
      <c r="H6" s="156"/>
      <c r="I6" s="156">
        <f t="shared" ref="I6:I18" si="0">ROUND(G6+H6,2)</f>
        <v>0</v>
      </c>
      <c r="J6" s="154">
        <f t="shared" ref="J6:J18" si="1">ROUND(I6*F6,2)</f>
        <v>0</v>
      </c>
    </row>
    <row r="7" spans="1:10">
      <c r="A7" s="12" t="s">
        <v>27</v>
      </c>
      <c r="B7" s="54" t="s">
        <v>312</v>
      </c>
      <c r="C7" s="54" t="s">
        <v>310</v>
      </c>
      <c r="D7" s="55" t="s">
        <v>313</v>
      </c>
      <c r="E7" s="13" t="s">
        <v>270</v>
      </c>
      <c r="F7" s="13">
        <v>1</v>
      </c>
      <c r="G7" s="155"/>
      <c r="H7" s="156"/>
      <c r="I7" s="156">
        <f t="shared" si="0"/>
        <v>0</v>
      </c>
      <c r="J7" s="154">
        <f t="shared" si="1"/>
        <v>0</v>
      </c>
    </row>
    <row r="8" spans="1:10">
      <c r="A8" s="12" t="s">
        <v>30</v>
      </c>
      <c r="B8" s="54" t="s">
        <v>314</v>
      </c>
      <c r="C8" s="54" t="s">
        <v>310</v>
      </c>
      <c r="D8" s="55" t="s">
        <v>37</v>
      </c>
      <c r="E8" s="13" t="s">
        <v>270</v>
      </c>
      <c r="F8" s="13">
        <v>1</v>
      </c>
      <c r="G8" s="155"/>
      <c r="H8" s="156"/>
      <c r="I8" s="156">
        <f t="shared" si="0"/>
        <v>0</v>
      </c>
      <c r="J8" s="154">
        <f t="shared" si="1"/>
        <v>0</v>
      </c>
    </row>
    <row r="9" spans="1:10" ht="28.5">
      <c r="A9" s="12" t="s">
        <v>31</v>
      </c>
      <c r="B9" s="54" t="s">
        <v>315</v>
      </c>
      <c r="C9" s="54" t="s">
        <v>310</v>
      </c>
      <c r="D9" s="55" t="s">
        <v>39</v>
      </c>
      <c r="E9" s="13" t="s">
        <v>270</v>
      </c>
      <c r="F9" s="13">
        <v>1</v>
      </c>
      <c r="G9" s="155"/>
      <c r="H9" s="156"/>
      <c r="I9" s="156">
        <f t="shared" si="0"/>
        <v>0</v>
      </c>
      <c r="J9" s="154">
        <f t="shared" si="1"/>
        <v>0</v>
      </c>
    </row>
    <row r="10" spans="1:10" ht="28.5">
      <c r="A10" s="12" t="s">
        <v>32</v>
      </c>
      <c r="B10" s="54" t="s">
        <v>316</v>
      </c>
      <c r="C10" s="54" t="s">
        <v>310</v>
      </c>
      <c r="D10" s="55" t="s">
        <v>41</v>
      </c>
      <c r="E10" s="13" t="s">
        <v>270</v>
      </c>
      <c r="F10" s="13">
        <v>1</v>
      </c>
      <c r="G10" s="155"/>
      <c r="H10" s="156"/>
      <c r="I10" s="156">
        <f t="shared" si="0"/>
        <v>0</v>
      </c>
      <c r="J10" s="154">
        <f t="shared" si="1"/>
        <v>0</v>
      </c>
    </row>
    <row r="11" spans="1:10">
      <c r="A11" s="12" t="s">
        <v>33</v>
      </c>
      <c r="B11" s="54" t="s">
        <v>317</v>
      </c>
      <c r="C11" s="54" t="s">
        <v>310</v>
      </c>
      <c r="D11" s="55" t="s">
        <v>318</v>
      </c>
      <c r="E11" s="13" t="s">
        <v>270</v>
      </c>
      <c r="F11" s="13">
        <v>1</v>
      </c>
      <c r="G11" s="155"/>
      <c r="H11" s="156"/>
      <c r="I11" s="156">
        <f t="shared" si="0"/>
        <v>0</v>
      </c>
      <c r="J11" s="154">
        <f t="shared" si="1"/>
        <v>0</v>
      </c>
    </row>
    <row r="12" spans="1:10">
      <c r="A12" s="12" t="s">
        <v>34</v>
      </c>
      <c r="B12" s="54" t="s">
        <v>319</v>
      </c>
      <c r="C12" s="54" t="s">
        <v>310</v>
      </c>
      <c r="D12" s="55" t="s">
        <v>320</v>
      </c>
      <c r="E12" s="13" t="s">
        <v>321</v>
      </c>
      <c r="F12" s="13">
        <v>3531.74</v>
      </c>
      <c r="G12" s="155"/>
      <c r="H12" s="156"/>
      <c r="I12" s="156">
        <f t="shared" si="0"/>
        <v>0</v>
      </c>
      <c r="J12" s="154">
        <f t="shared" si="1"/>
        <v>0</v>
      </c>
    </row>
    <row r="13" spans="1:10">
      <c r="A13" s="12" t="s">
        <v>35</v>
      </c>
      <c r="B13" s="54" t="s">
        <v>322</v>
      </c>
      <c r="C13" s="54" t="s">
        <v>310</v>
      </c>
      <c r="D13" s="55" t="s">
        <v>323</v>
      </c>
      <c r="E13" s="13" t="s">
        <v>324</v>
      </c>
      <c r="F13" s="13">
        <v>3531.74</v>
      </c>
      <c r="G13" s="155"/>
      <c r="H13" s="156"/>
      <c r="I13" s="156">
        <f t="shared" si="0"/>
        <v>0</v>
      </c>
      <c r="J13" s="154">
        <f t="shared" si="1"/>
        <v>0</v>
      </c>
    </row>
    <row r="14" spans="1:10" ht="28.5">
      <c r="A14" s="12" t="s">
        <v>36</v>
      </c>
      <c r="B14" s="54" t="s">
        <v>367</v>
      </c>
      <c r="C14" s="54" t="s">
        <v>366</v>
      </c>
      <c r="D14" s="55" t="s">
        <v>326</v>
      </c>
      <c r="E14" s="13" t="s">
        <v>22</v>
      </c>
      <c r="F14" s="13">
        <v>1</v>
      </c>
      <c r="G14" s="155"/>
      <c r="H14" s="156"/>
      <c r="I14" s="156">
        <f t="shared" si="0"/>
        <v>0</v>
      </c>
      <c r="J14" s="154">
        <f t="shared" si="1"/>
        <v>0</v>
      </c>
    </row>
    <row r="15" spans="1:10">
      <c r="A15" s="12" t="s">
        <v>38</v>
      </c>
      <c r="B15" s="54" t="s">
        <v>327</v>
      </c>
      <c r="C15" s="54" t="s">
        <v>310</v>
      </c>
      <c r="D15" s="55" t="s">
        <v>328</v>
      </c>
      <c r="E15" s="13" t="s">
        <v>270</v>
      </c>
      <c r="F15" s="13">
        <v>2</v>
      </c>
      <c r="G15" s="155"/>
      <c r="H15" s="156"/>
      <c r="I15" s="156">
        <f t="shared" si="0"/>
        <v>0</v>
      </c>
      <c r="J15" s="154">
        <f t="shared" si="1"/>
        <v>0</v>
      </c>
    </row>
    <row r="16" spans="1:10">
      <c r="A16" s="12" t="s">
        <v>40</v>
      </c>
      <c r="B16" s="54" t="s">
        <v>329</v>
      </c>
      <c r="C16" s="54" t="s">
        <v>93</v>
      </c>
      <c r="D16" s="55" t="s">
        <v>330</v>
      </c>
      <c r="E16" s="13" t="s">
        <v>324</v>
      </c>
      <c r="F16" s="13">
        <v>6</v>
      </c>
      <c r="G16" s="155"/>
      <c r="H16" s="156"/>
      <c r="I16" s="156">
        <f t="shared" si="0"/>
        <v>0</v>
      </c>
      <c r="J16" s="154">
        <f t="shared" si="1"/>
        <v>0</v>
      </c>
    </row>
    <row r="17" spans="1:17" ht="28.5">
      <c r="A17" s="12" t="s">
        <v>42</v>
      </c>
      <c r="B17" s="54" t="s">
        <v>331</v>
      </c>
      <c r="C17" s="54" t="s">
        <v>93</v>
      </c>
      <c r="D17" s="55" t="s">
        <v>332</v>
      </c>
      <c r="E17" s="13" t="s">
        <v>44</v>
      </c>
      <c r="F17" s="13">
        <v>20</v>
      </c>
      <c r="G17" s="155"/>
      <c r="H17" s="156"/>
      <c r="I17" s="156">
        <f t="shared" si="0"/>
        <v>0</v>
      </c>
      <c r="J17" s="154">
        <f t="shared" si="1"/>
        <v>0</v>
      </c>
    </row>
    <row r="18" spans="1:17">
      <c r="A18" s="12" t="s">
        <v>43</v>
      </c>
      <c r="B18" s="54" t="s">
        <v>333</v>
      </c>
      <c r="C18" s="54" t="s">
        <v>93</v>
      </c>
      <c r="D18" s="55" t="s">
        <v>334</v>
      </c>
      <c r="E18" s="13" t="s">
        <v>324</v>
      </c>
      <c r="F18" s="13">
        <v>2</v>
      </c>
      <c r="G18" s="155"/>
      <c r="H18" s="156"/>
      <c r="I18" s="156">
        <f t="shared" si="0"/>
        <v>0</v>
      </c>
      <c r="J18" s="154">
        <f t="shared" si="1"/>
        <v>0</v>
      </c>
    </row>
    <row r="19" spans="1:17">
      <c r="A19" s="21"/>
      <c r="B19" s="26"/>
      <c r="C19" s="26"/>
      <c r="D19" s="23"/>
      <c r="E19" s="22"/>
      <c r="F19" s="24"/>
      <c r="G19" s="24"/>
      <c r="H19" s="24"/>
      <c r="I19" s="24"/>
      <c r="J19" s="20"/>
    </row>
    <row r="20" spans="1:17" ht="15">
      <c r="A20" s="202">
        <v>2</v>
      </c>
      <c r="B20" s="212"/>
      <c r="C20" s="212"/>
      <c r="D20" s="213" t="s">
        <v>45</v>
      </c>
      <c r="E20" s="205"/>
      <c r="F20" s="210"/>
      <c r="G20" s="210"/>
      <c r="H20" s="210"/>
      <c r="I20" s="211"/>
      <c r="J20" s="214">
        <f>J21+J30+J36+J39</f>
        <v>0</v>
      </c>
      <c r="L20" s="17"/>
    </row>
    <row r="21" spans="1:17" ht="15">
      <c r="A21" s="5" t="s">
        <v>11</v>
      </c>
      <c r="B21" s="14"/>
      <c r="C21" s="14"/>
      <c r="D21" s="7" t="s">
        <v>46</v>
      </c>
      <c r="E21" s="8"/>
      <c r="F21" s="15"/>
      <c r="G21" s="15"/>
      <c r="H21" s="15"/>
      <c r="I21" s="16"/>
      <c r="J21" s="158">
        <f>SUM(J22:J28)</f>
        <v>0</v>
      </c>
    </row>
    <row r="22" spans="1:17">
      <c r="A22" s="12" t="s">
        <v>56</v>
      </c>
      <c r="B22" s="54" t="s">
        <v>335</v>
      </c>
      <c r="C22" s="54" t="s">
        <v>93</v>
      </c>
      <c r="D22" s="55" t="s">
        <v>336</v>
      </c>
      <c r="E22" s="13" t="s">
        <v>311</v>
      </c>
      <c r="F22" s="13">
        <v>3531.74</v>
      </c>
      <c r="G22" s="155"/>
      <c r="H22" s="156"/>
      <c r="I22" s="156">
        <f t="shared" ref="I22:I28" si="2">ROUND(G22+H22,2)</f>
        <v>0</v>
      </c>
      <c r="J22" s="154">
        <f t="shared" ref="J22" si="3">I22*F22</f>
        <v>0</v>
      </c>
    </row>
    <row r="23" spans="1:17">
      <c r="A23" s="12" t="s">
        <v>57</v>
      </c>
      <c r="B23" s="54" t="s">
        <v>337</v>
      </c>
      <c r="C23" s="54" t="s">
        <v>310</v>
      </c>
      <c r="D23" s="55" t="s">
        <v>338</v>
      </c>
      <c r="E23" s="13" t="s">
        <v>311</v>
      </c>
      <c r="F23" s="13">
        <v>3531.74</v>
      </c>
      <c r="G23" s="155"/>
      <c r="H23" s="156"/>
      <c r="I23" s="156">
        <f t="shared" si="2"/>
        <v>0</v>
      </c>
      <c r="J23" s="154">
        <f>I23*F23</f>
        <v>0</v>
      </c>
      <c r="L23" s="17"/>
      <c r="M23" s="18"/>
      <c r="N23" s="17"/>
      <c r="O23" s="19"/>
      <c r="P23" s="19"/>
      <c r="Q23" s="19"/>
    </row>
    <row r="24" spans="1:17">
      <c r="A24" s="12" t="s">
        <v>58</v>
      </c>
      <c r="B24" s="54" t="s">
        <v>339</v>
      </c>
      <c r="C24" s="54" t="s">
        <v>310</v>
      </c>
      <c r="D24" s="55" t="s">
        <v>340</v>
      </c>
      <c r="E24" s="13" t="s">
        <v>311</v>
      </c>
      <c r="F24" s="13">
        <v>3531.74</v>
      </c>
      <c r="G24" s="155"/>
      <c r="H24" s="156"/>
      <c r="I24" s="156">
        <f t="shared" si="2"/>
        <v>0</v>
      </c>
      <c r="J24" s="154">
        <f t="shared" ref="J24:J28" si="4">I24*F24</f>
        <v>0</v>
      </c>
    </row>
    <row r="25" spans="1:17" ht="28.5">
      <c r="A25" s="12" t="s">
        <v>59</v>
      </c>
      <c r="B25" s="54" t="s">
        <v>341</v>
      </c>
      <c r="C25" s="54" t="s">
        <v>310</v>
      </c>
      <c r="D25" s="55" t="s">
        <v>342</v>
      </c>
      <c r="E25" s="13" t="s">
        <v>311</v>
      </c>
      <c r="F25" s="13">
        <v>3531.74</v>
      </c>
      <c r="G25" s="155"/>
      <c r="H25" s="156"/>
      <c r="I25" s="156">
        <f t="shared" si="2"/>
        <v>0</v>
      </c>
      <c r="J25" s="154">
        <f t="shared" si="4"/>
        <v>0</v>
      </c>
    </row>
    <row r="26" spans="1:17">
      <c r="A26" s="12" t="s">
        <v>60</v>
      </c>
      <c r="B26" s="54" t="s">
        <v>343</v>
      </c>
      <c r="C26" s="54" t="s">
        <v>325</v>
      </c>
      <c r="D26" s="55" t="s">
        <v>64</v>
      </c>
      <c r="E26" s="13" t="s">
        <v>79</v>
      </c>
      <c r="F26" s="13">
        <v>3531.74</v>
      </c>
      <c r="G26" s="155"/>
      <c r="H26" s="156"/>
      <c r="I26" s="156">
        <f t="shared" si="2"/>
        <v>0</v>
      </c>
      <c r="J26" s="154">
        <f t="shared" si="4"/>
        <v>0</v>
      </c>
    </row>
    <row r="27" spans="1:17">
      <c r="A27" s="12" t="s">
        <v>61</v>
      </c>
      <c r="B27" s="54" t="s">
        <v>344</v>
      </c>
      <c r="C27" s="54" t="s">
        <v>325</v>
      </c>
      <c r="D27" s="55" t="s">
        <v>66</v>
      </c>
      <c r="E27" s="13" t="s">
        <v>79</v>
      </c>
      <c r="F27" s="13">
        <v>3531.74</v>
      </c>
      <c r="G27" s="155"/>
      <c r="H27" s="156"/>
      <c r="I27" s="156">
        <f t="shared" si="2"/>
        <v>0</v>
      </c>
      <c r="J27" s="154">
        <f t="shared" si="4"/>
        <v>0</v>
      </c>
    </row>
    <row r="28" spans="1:17">
      <c r="A28" s="12" t="s">
        <v>62</v>
      </c>
      <c r="B28" s="54" t="s">
        <v>345</v>
      </c>
      <c r="C28" s="54" t="s">
        <v>325</v>
      </c>
      <c r="D28" s="55" t="s">
        <v>346</v>
      </c>
      <c r="E28" s="13" t="s">
        <v>79</v>
      </c>
      <c r="F28" s="13">
        <v>3531.74</v>
      </c>
      <c r="G28" s="155"/>
      <c r="H28" s="156"/>
      <c r="I28" s="156">
        <f t="shared" si="2"/>
        <v>0</v>
      </c>
      <c r="J28" s="154">
        <f t="shared" si="4"/>
        <v>0</v>
      </c>
    </row>
    <row r="29" spans="1:17">
      <c r="A29" s="21"/>
      <c r="B29" s="26"/>
      <c r="C29" s="26"/>
      <c r="D29" s="23"/>
      <c r="E29" s="22"/>
      <c r="F29" s="24"/>
      <c r="G29" s="24"/>
      <c r="H29" s="24"/>
      <c r="I29" s="24"/>
      <c r="J29" s="20"/>
    </row>
    <row r="30" spans="1:17" ht="15">
      <c r="A30" s="5" t="s">
        <v>12</v>
      </c>
      <c r="B30" s="14"/>
      <c r="C30" s="14"/>
      <c r="D30" s="7" t="s">
        <v>47</v>
      </c>
      <c r="E30" s="8"/>
      <c r="F30" s="15"/>
      <c r="G30" s="15"/>
      <c r="H30" s="15"/>
      <c r="I30" s="16"/>
      <c r="J30" s="158">
        <f>SUM(J31:J34)</f>
        <v>0</v>
      </c>
    </row>
    <row r="31" spans="1:17">
      <c r="A31" s="12" t="s">
        <v>71</v>
      </c>
      <c r="B31" s="54" t="s">
        <v>335</v>
      </c>
      <c r="C31" s="54" t="s">
        <v>93</v>
      </c>
      <c r="D31" s="55" t="s">
        <v>336</v>
      </c>
      <c r="E31" s="13" t="s">
        <v>311</v>
      </c>
      <c r="F31" s="13">
        <v>3147.37</v>
      </c>
      <c r="G31" s="155"/>
      <c r="H31" s="156"/>
      <c r="I31" s="156">
        <f t="shared" ref="I31:I34" si="5">ROUND(G31+H31,2)</f>
        <v>0</v>
      </c>
      <c r="J31" s="154">
        <f t="shared" ref="J31" si="6">I31*F31</f>
        <v>0</v>
      </c>
    </row>
    <row r="32" spans="1:17">
      <c r="A32" s="12" t="s">
        <v>72</v>
      </c>
      <c r="B32" s="54" t="s">
        <v>337</v>
      </c>
      <c r="C32" s="54" t="s">
        <v>310</v>
      </c>
      <c r="D32" s="55" t="s">
        <v>338</v>
      </c>
      <c r="E32" s="13" t="s">
        <v>311</v>
      </c>
      <c r="F32" s="13">
        <v>3147.37</v>
      </c>
      <c r="G32" s="155"/>
      <c r="H32" s="156"/>
      <c r="I32" s="156">
        <f t="shared" si="5"/>
        <v>0</v>
      </c>
      <c r="J32" s="154">
        <f>I32*F32</f>
        <v>0</v>
      </c>
    </row>
    <row r="33" spans="1:10">
      <c r="A33" s="12" t="s">
        <v>73</v>
      </c>
      <c r="B33" s="54" t="s">
        <v>339</v>
      </c>
      <c r="C33" s="54" t="s">
        <v>310</v>
      </c>
      <c r="D33" s="55" t="s">
        <v>340</v>
      </c>
      <c r="E33" s="13" t="s">
        <v>311</v>
      </c>
      <c r="F33" s="13">
        <v>3147.37</v>
      </c>
      <c r="G33" s="155"/>
      <c r="H33" s="156"/>
      <c r="I33" s="156">
        <f t="shared" si="5"/>
        <v>0</v>
      </c>
      <c r="J33" s="154">
        <f>I33*F33</f>
        <v>0</v>
      </c>
    </row>
    <row r="34" spans="1:10" ht="28.5">
      <c r="A34" s="12" t="s">
        <v>74</v>
      </c>
      <c r="B34" s="54" t="s">
        <v>341</v>
      </c>
      <c r="C34" s="54" t="s">
        <v>310</v>
      </c>
      <c r="D34" s="55" t="s">
        <v>342</v>
      </c>
      <c r="E34" s="13" t="s">
        <v>311</v>
      </c>
      <c r="F34" s="13">
        <v>3147.37</v>
      </c>
      <c r="G34" s="155"/>
      <c r="H34" s="156"/>
      <c r="I34" s="156">
        <f t="shared" si="5"/>
        <v>0</v>
      </c>
      <c r="J34" s="154">
        <f>I34*F34</f>
        <v>0</v>
      </c>
    </row>
    <row r="35" spans="1:10">
      <c r="A35" s="21"/>
      <c r="B35" s="26"/>
      <c r="C35" s="26"/>
      <c r="D35" s="23"/>
      <c r="E35" s="22"/>
      <c r="F35" s="24"/>
      <c r="G35" s="24"/>
      <c r="H35" s="24"/>
      <c r="I35" s="24"/>
      <c r="J35" s="20"/>
    </row>
    <row r="36" spans="1:10" ht="15">
      <c r="A36" s="5" t="s">
        <v>13</v>
      </c>
      <c r="B36" s="14"/>
      <c r="C36" s="14"/>
      <c r="D36" s="7" t="s">
        <v>48</v>
      </c>
      <c r="E36" s="8"/>
      <c r="F36" s="15"/>
      <c r="G36" s="15"/>
      <c r="H36" s="15"/>
      <c r="I36" s="16"/>
      <c r="J36" s="158">
        <f>J37</f>
        <v>0</v>
      </c>
    </row>
    <row r="37" spans="1:10">
      <c r="A37" s="12" t="s">
        <v>75</v>
      </c>
      <c r="B37" s="54" t="s">
        <v>347</v>
      </c>
      <c r="C37" s="54" t="s">
        <v>310</v>
      </c>
      <c r="D37" s="55" t="s">
        <v>348</v>
      </c>
      <c r="E37" s="13" t="s">
        <v>311</v>
      </c>
      <c r="F37" s="13">
        <v>262.35000000000002</v>
      </c>
      <c r="G37" s="155"/>
      <c r="H37" s="156"/>
      <c r="I37" s="156">
        <f t="shared" ref="I37" si="7">ROUND(G37+H37,2)</f>
        <v>0</v>
      </c>
      <c r="J37" s="154">
        <f>I37*F37</f>
        <v>0</v>
      </c>
    </row>
    <row r="38" spans="1:10">
      <c r="A38" s="21"/>
      <c r="B38" s="26"/>
      <c r="C38" s="26"/>
      <c r="D38" s="23"/>
      <c r="E38" s="22"/>
      <c r="F38" s="24"/>
      <c r="G38" s="24"/>
      <c r="H38" s="24"/>
      <c r="I38" s="24"/>
      <c r="J38" s="20"/>
    </row>
    <row r="39" spans="1:10" ht="15">
      <c r="A39" s="5" t="s">
        <v>14</v>
      </c>
      <c r="B39" s="14"/>
      <c r="C39" s="14"/>
      <c r="D39" s="7" t="s">
        <v>49</v>
      </c>
      <c r="E39" s="8"/>
      <c r="F39" s="15"/>
      <c r="G39" s="15"/>
      <c r="H39" s="15"/>
      <c r="I39" s="16"/>
      <c r="J39" s="158">
        <f>SUM(J40:J41)</f>
        <v>0</v>
      </c>
    </row>
    <row r="40" spans="1:10" ht="57">
      <c r="A40" s="12" t="s">
        <v>78</v>
      </c>
      <c r="B40" s="299" t="s">
        <v>349</v>
      </c>
      <c r="C40" s="299" t="s">
        <v>93</v>
      </c>
      <c r="D40" s="300" t="s">
        <v>350</v>
      </c>
      <c r="E40" s="301" t="s">
        <v>311</v>
      </c>
      <c r="F40" s="301">
        <v>1218.1600000000001</v>
      </c>
      <c r="G40" s="302"/>
      <c r="H40" s="303"/>
      <c r="I40" s="156">
        <f t="shared" ref="I40:I41" si="8">ROUND(G40+H40,2)</f>
        <v>0</v>
      </c>
      <c r="J40" s="154">
        <f>I40*F40</f>
        <v>0</v>
      </c>
    </row>
    <row r="41" spans="1:10" ht="28.5">
      <c r="A41" s="12" t="s">
        <v>78</v>
      </c>
      <c r="B41" s="299" t="s">
        <v>351</v>
      </c>
      <c r="C41" s="299" t="s">
        <v>93</v>
      </c>
      <c r="D41" s="300" t="s">
        <v>352</v>
      </c>
      <c r="E41" s="301" t="s">
        <v>311</v>
      </c>
      <c r="F41" s="301">
        <v>94.24</v>
      </c>
      <c r="G41" s="302"/>
      <c r="H41" s="303"/>
      <c r="I41" s="156">
        <f t="shared" si="8"/>
        <v>0</v>
      </c>
      <c r="J41" s="154">
        <f>I41*F41</f>
        <v>0</v>
      </c>
    </row>
    <row r="42" spans="1:10">
      <c r="A42" s="21"/>
      <c r="B42" s="26"/>
      <c r="C42" s="26"/>
      <c r="D42" s="23"/>
      <c r="E42" s="22"/>
      <c r="F42" s="24"/>
      <c r="G42" s="24"/>
      <c r="H42" s="24"/>
      <c r="I42" s="24"/>
      <c r="J42" s="20"/>
    </row>
    <row r="43" spans="1:10" ht="15">
      <c r="A43" s="202">
        <v>3</v>
      </c>
      <c r="B43" s="212"/>
      <c r="C43" s="212"/>
      <c r="D43" s="213" t="s">
        <v>51</v>
      </c>
      <c r="E43" s="205"/>
      <c r="F43" s="210"/>
      <c r="G43" s="210"/>
      <c r="H43" s="210"/>
      <c r="I43" s="211"/>
      <c r="J43" s="214">
        <f>J44+J50</f>
        <v>0</v>
      </c>
    </row>
    <row r="44" spans="1:10" ht="15">
      <c r="A44" s="5" t="s">
        <v>15</v>
      </c>
      <c r="B44" s="14"/>
      <c r="C44" s="14"/>
      <c r="D44" s="7" t="s">
        <v>52</v>
      </c>
      <c r="E44" s="8"/>
      <c r="F44" s="15"/>
      <c r="G44" s="15"/>
      <c r="H44" s="15"/>
      <c r="I44" s="16"/>
      <c r="J44" s="158">
        <f>SUM(J45:J48)</f>
        <v>0</v>
      </c>
    </row>
    <row r="45" spans="1:10">
      <c r="A45" s="12" t="s">
        <v>80</v>
      </c>
      <c r="B45" s="54" t="s">
        <v>356</v>
      </c>
      <c r="C45" s="54" t="s">
        <v>310</v>
      </c>
      <c r="D45" s="55" t="s">
        <v>357</v>
      </c>
      <c r="E45" s="13" t="s">
        <v>311</v>
      </c>
      <c r="F45" s="13">
        <v>593.82000000000005</v>
      </c>
      <c r="G45" s="155"/>
      <c r="H45" s="156"/>
      <c r="I45" s="156">
        <f t="shared" ref="I45:I48" si="9">ROUND(G45+H45,2)</f>
        <v>0</v>
      </c>
      <c r="J45" s="154">
        <f>I45*F45</f>
        <v>0</v>
      </c>
    </row>
    <row r="46" spans="1:10" ht="42.75">
      <c r="A46" s="12" t="s">
        <v>81</v>
      </c>
      <c r="B46" s="54" t="s">
        <v>358</v>
      </c>
      <c r="C46" s="54" t="s">
        <v>310</v>
      </c>
      <c r="D46" s="55" t="s">
        <v>359</v>
      </c>
      <c r="E46" s="13" t="s">
        <v>311</v>
      </c>
      <c r="F46" s="13">
        <v>23.07</v>
      </c>
      <c r="G46" s="155"/>
      <c r="H46" s="156"/>
      <c r="I46" s="156">
        <f t="shared" si="9"/>
        <v>0</v>
      </c>
      <c r="J46" s="154">
        <f t="shared" ref="J46:J48" si="10">I46*F46</f>
        <v>0</v>
      </c>
    </row>
    <row r="47" spans="1:10" ht="28.5">
      <c r="A47" s="12" t="s">
        <v>82</v>
      </c>
      <c r="B47" s="54" t="s">
        <v>360</v>
      </c>
      <c r="C47" s="54" t="s">
        <v>310</v>
      </c>
      <c r="D47" s="55" t="s">
        <v>361</v>
      </c>
      <c r="E47" s="13" t="s">
        <v>311</v>
      </c>
      <c r="F47" s="13">
        <v>207.54</v>
      </c>
      <c r="G47" s="155"/>
      <c r="H47" s="156"/>
      <c r="I47" s="156">
        <f t="shared" si="9"/>
        <v>0</v>
      </c>
      <c r="J47" s="154">
        <f t="shared" si="10"/>
        <v>0</v>
      </c>
    </row>
    <row r="48" spans="1:10" ht="28.5">
      <c r="A48" s="12" t="s">
        <v>83</v>
      </c>
      <c r="B48" s="54" t="s">
        <v>362</v>
      </c>
      <c r="C48" s="54" t="s">
        <v>93</v>
      </c>
      <c r="D48" s="55" t="s">
        <v>363</v>
      </c>
      <c r="E48" s="13" t="s">
        <v>311</v>
      </c>
      <c r="F48" s="13">
        <v>23.07</v>
      </c>
      <c r="G48" s="155"/>
      <c r="H48" s="156"/>
      <c r="I48" s="156">
        <f t="shared" si="9"/>
        <v>0</v>
      </c>
      <c r="J48" s="154">
        <f t="shared" si="10"/>
        <v>0</v>
      </c>
    </row>
    <row r="49" spans="1:13">
      <c r="A49" s="21"/>
      <c r="B49" s="26"/>
      <c r="C49" s="26"/>
      <c r="D49" s="23"/>
      <c r="E49" s="22"/>
      <c r="F49" s="24"/>
      <c r="G49" s="24"/>
      <c r="H49" s="24"/>
      <c r="I49" s="24"/>
      <c r="J49" s="20"/>
    </row>
    <row r="50" spans="1:13" ht="15">
      <c r="A50" s="5" t="s">
        <v>16</v>
      </c>
      <c r="B50" s="14"/>
      <c r="C50" s="14"/>
      <c r="D50" s="7" t="s">
        <v>53</v>
      </c>
      <c r="E50" s="8"/>
      <c r="F50" s="15"/>
      <c r="G50" s="15"/>
      <c r="H50" s="15"/>
      <c r="I50" s="16"/>
      <c r="J50" s="158">
        <f>SUM(J51:J52)</f>
        <v>0</v>
      </c>
    </row>
    <row r="51" spans="1:13" ht="42.75">
      <c r="A51" s="12" t="s">
        <v>84</v>
      </c>
      <c r="B51" s="54" t="s">
        <v>353</v>
      </c>
      <c r="C51" s="54" t="s">
        <v>310</v>
      </c>
      <c r="D51" s="55" t="s">
        <v>94</v>
      </c>
      <c r="E51" s="13" t="s">
        <v>132</v>
      </c>
      <c r="F51" s="13">
        <v>5</v>
      </c>
      <c r="G51" s="155"/>
      <c r="H51" s="156"/>
      <c r="I51" s="156">
        <f t="shared" ref="I51:I52" si="11">ROUND(G51+H51,2)</f>
        <v>0</v>
      </c>
      <c r="J51" s="154">
        <f>I51*F51</f>
        <v>0</v>
      </c>
    </row>
    <row r="52" spans="1:13">
      <c r="A52" s="12" t="s">
        <v>85</v>
      </c>
      <c r="B52" s="54" t="s">
        <v>354</v>
      </c>
      <c r="C52" s="54" t="s">
        <v>310</v>
      </c>
      <c r="D52" s="55" t="s">
        <v>355</v>
      </c>
      <c r="E52" s="13" t="s">
        <v>311</v>
      </c>
      <c r="F52" s="13">
        <v>50</v>
      </c>
      <c r="G52" s="155"/>
      <c r="H52" s="156"/>
      <c r="I52" s="156">
        <f t="shared" si="11"/>
        <v>0</v>
      </c>
      <c r="J52" s="154">
        <f>I52*F52</f>
        <v>0</v>
      </c>
    </row>
    <row r="53" spans="1:13">
      <c r="A53" s="21"/>
      <c r="B53" s="26"/>
      <c r="C53" s="26"/>
      <c r="D53" s="23"/>
      <c r="E53" s="22"/>
      <c r="F53" s="24"/>
      <c r="G53" s="24"/>
      <c r="H53" s="24"/>
      <c r="I53" s="24"/>
      <c r="J53" s="20"/>
    </row>
    <row r="54" spans="1:13" ht="15">
      <c r="A54" s="202">
        <v>4</v>
      </c>
      <c r="B54" s="207"/>
      <c r="C54" s="208"/>
      <c r="D54" s="209" t="s">
        <v>54</v>
      </c>
      <c r="E54" s="205"/>
      <c r="F54" s="210"/>
      <c r="G54" s="210"/>
      <c r="H54" s="210"/>
      <c r="I54" s="211"/>
      <c r="J54" s="206">
        <f>SUM(J55)</f>
        <v>0</v>
      </c>
    </row>
    <row r="55" spans="1:13">
      <c r="A55" s="12" t="s">
        <v>17</v>
      </c>
      <c r="B55" s="54" t="s">
        <v>364</v>
      </c>
      <c r="C55" s="54" t="s">
        <v>310</v>
      </c>
      <c r="D55" s="55" t="s">
        <v>365</v>
      </c>
      <c r="E55" s="13" t="s">
        <v>311</v>
      </c>
      <c r="F55" s="13">
        <v>3147.37</v>
      </c>
      <c r="G55" s="155"/>
      <c r="H55" s="156"/>
      <c r="I55" s="156">
        <f t="shared" ref="I55" si="12">ROUND(G55+H55,2)</f>
        <v>0</v>
      </c>
      <c r="J55" s="154">
        <f>I55*F55</f>
        <v>0</v>
      </c>
    </row>
    <row r="56" spans="1:13">
      <c r="A56" s="21"/>
      <c r="B56" s="26"/>
      <c r="C56" s="26"/>
      <c r="D56" s="23"/>
      <c r="E56" s="22"/>
      <c r="F56" s="24"/>
      <c r="G56" s="24"/>
      <c r="H56" s="24"/>
      <c r="I56" s="24"/>
      <c r="J56" s="20"/>
    </row>
    <row r="57" spans="1:13" ht="15">
      <c r="A57" s="27"/>
      <c r="B57" s="28"/>
      <c r="C57" s="28"/>
      <c r="D57" s="28" t="s">
        <v>18</v>
      </c>
      <c r="E57" s="29"/>
      <c r="F57" s="30"/>
      <c r="G57" s="30"/>
      <c r="H57" s="30"/>
      <c r="I57" s="31"/>
      <c r="J57" s="32">
        <f>J54+J43+J20+J3</f>
        <v>0</v>
      </c>
    </row>
    <row r="58" spans="1:13" ht="15">
      <c r="A58" s="33"/>
      <c r="B58" s="34"/>
      <c r="C58" s="34"/>
      <c r="D58" s="34" t="s">
        <v>92</v>
      </c>
      <c r="E58" s="35"/>
      <c r="F58" s="36"/>
      <c r="G58" s="36"/>
      <c r="H58" s="36"/>
      <c r="I58" s="37"/>
      <c r="J58" s="38">
        <f>J57*0.0887</f>
        <v>0</v>
      </c>
    </row>
    <row r="59" spans="1:13" ht="15">
      <c r="A59" s="39"/>
      <c r="B59" s="4"/>
      <c r="C59" s="4"/>
      <c r="D59" s="4" t="s">
        <v>55</v>
      </c>
      <c r="E59" s="40"/>
      <c r="F59" s="41"/>
      <c r="G59" s="41"/>
      <c r="H59" s="41"/>
      <c r="I59" s="42"/>
      <c r="J59" s="43">
        <f>(J58+J57)*0.2226</f>
        <v>0</v>
      </c>
    </row>
    <row r="60" spans="1:13" ht="15">
      <c r="A60" s="44"/>
      <c r="B60" s="45"/>
      <c r="C60" s="45"/>
      <c r="D60" s="45" t="s">
        <v>19</v>
      </c>
      <c r="E60" s="46"/>
      <c r="F60" s="47"/>
      <c r="G60" s="47"/>
      <c r="H60" s="47"/>
      <c r="I60" s="48"/>
      <c r="J60" s="49">
        <f>SUM(J57:J59)</f>
        <v>0</v>
      </c>
      <c r="M60" s="1" t="s">
        <v>20</v>
      </c>
    </row>
    <row r="63" spans="1:13">
      <c r="I63" s="304"/>
      <c r="J63" s="304"/>
    </row>
    <row r="64" spans="1:13">
      <c r="I64" s="305"/>
      <c r="J64" s="305"/>
    </row>
  </sheetData>
  <mergeCells count="9">
    <mergeCell ref="I63:J63"/>
    <mergeCell ref="I64:J64"/>
    <mergeCell ref="A1:A2"/>
    <mergeCell ref="B1:B2"/>
    <mergeCell ref="D1:D2"/>
    <mergeCell ref="E1:E2"/>
    <mergeCell ref="F1:F2"/>
    <mergeCell ref="G1:J1"/>
    <mergeCell ref="C1:C2"/>
  </mergeCells>
  <phoneticPr fontId="16" type="noConversion"/>
  <printOptions horizontalCentered="1"/>
  <pageMargins left="0.19685039370078741" right="0.19685039370078741" top="1.3779527559055118" bottom="0.98425196850393704" header="0.19685039370078741" footer="0.19685039370078741"/>
  <pageSetup paperSize="9" scale="58" fitToHeight="0" orientation="landscape" r:id="rId1"/>
  <headerFooter>
    <oddHeader>&amp;L&amp;G&amp;C&amp;"Ecofont Vera Sans,Negrito"&amp;14
PE Ilha Anchieta
Restauro e contenção ruínas
&amp;R&amp;"Ecofont Vera Sans,Regular"Planilha de Custos
 CDHU 190 - 06/2023
SINAPI - 06/2023
ORSE - 06/2023
COTAÇÕES DE MERCADO - atualizadas INCC 06/2023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1"/>
  <sheetViews>
    <sheetView showGridLines="0" view="pageLayout" zoomScaleNormal="90" workbookViewId="0">
      <selection activeCell="O5" sqref="O5"/>
    </sheetView>
  </sheetViews>
  <sheetFormatPr defaultColWidth="9.140625" defaultRowHeight="12.75"/>
  <cols>
    <col min="1" max="1" width="5.42578125" style="235" bestFit="1" customWidth="1"/>
    <col min="2" max="2" width="30.42578125" style="234" bestFit="1" customWidth="1"/>
    <col min="3" max="14" width="10.5703125" style="234" customWidth="1"/>
    <col min="15" max="15" width="11.140625" style="234" bestFit="1" customWidth="1"/>
    <col min="16" max="16" width="10.5703125" style="234" customWidth="1"/>
    <col min="17" max="18" width="11.140625" style="234" bestFit="1" customWidth="1"/>
    <col min="19" max="19" width="8.5703125" style="234" bestFit="1" customWidth="1"/>
    <col min="20" max="20" width="6.140625" style="234" customWidth="1"/>
    <col min="21" max="16384" width="9.140625" style="234"/>
  </cols>
  <sheetData>
    <row r="1" spans="1:19" ht="60" customHeight="1" thickBot="1">
      <c r="A1" s="244" t="s">
        <v>307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s="236" customFormat="1" ht="39.950000000000003" customHeight="1" thickBot="1">
      <c r="A2" s="250" t="s">
        <v>0</v>
      </c>
      <c r="B2" s="251" t="s">
        <v>308</v>
      </c>
      <c r="C2" s="254" t="s">
        <v>285</v>
      </c>
      <c r="D2" s="255" t="s">
        <v>286</v>
      </c>
      <c r="E2" s="255" t="s">
        <v>287</v>
      </c>
      <c r="F2" s="255" t="s">
        <v>288</v>
      </c>
      <c r="G2" s="255" t="s">
        <v>289</v>
      </c>
      <c r="H2" s="255" t="s">
        <v>292</v>
      </c>
      <c r="I2" s="255" t="s">
        <v>293</v>
      </c>
      <c r="J2" s="255" t="s">
        <v>294</v>
      </c>
      <c r="K2" s="255" t="s">
        <v>295</v>
      </c>
      <c r="L2" s="255" t="s">
        <v>296</v>
      </c>
      <c r="M2" s="255" t="s">
        <v>297</v>
      </c>
      <c r="N2" s="255" t="s">
        <v>298</v>
      </c>
      <c r="O2" s="256" t="s">
        <v>290</v>
      </c>
      <c r="P2" s="267" t="str">
        <f>B8</f>
        <v>Administr local 8,87%</v>
      </c>
      <c r="Q2" s="268" t="str">
        <f>B9</f>
        <v>BDI 22,26%</v>
      </c>
      <c r="R2" s="280" t="s">
        <v>304</v>
      </c>
      <c r="S2" s="281"/>
    </row>
    <row r="3" spans="1:19" ht="24.95" customHeight="1">
      <c r="A3" s="242">
        <v>1</v>
      </c>
      <c r="B3" s="252" t="str">
        <f>UPPER(VLOOKUP(A3,PLANILHA!A:J,4,0))</f>
        <v>SERVIÇOS INCIAIS</v>
      </c>
      <c r="C3" s="257">
        <f>$O$3/12</f>
        <v>0</v>
      </c>
      <c r="D3" s="246">
        <f>$O$3/12</f>
        <v>0</v>
      </c>
      <c r="E3" s="246">
        <f>$O$3/12</f>
        <v>0</v>
      </c>
      <c r="F3" s="246">
        <f>$O$3/12</f>
        <v>0</v>
      </c>
      <c r="G3" s="246">
        <f>$O$3/12</f>
        <v>0</v>
      </c>
      <c r="H3" s="246">
        <f>$O$3/12</f>
        <v>0</v>
      </c>
      <c r="I3" s="246">
        <f>$O$3/12</f>
        <v>0</v>
      </c>
      <c r="J3" s="246">
        <f>$O$3/12</f>
        <v>0</v>
      </c>
      <c r="K3" s="246">
        <f>$O$3/12</f>
        <v>0</v>
      </c>
      <c r="L3" s="246">
        <f>$O$3/12</f>
        <v>0</v>
      </c>
      <c r="M3" s="246">
        <f>$O$3/12</f>
        <v>0</v>
      </c>
      <c r="N3" s="246">
        <f>$O$3/12</f>
        <v>0</v>
      </c>
      <c r="O3" s="258">
        <f>VLOOKUP(A3,PLANILHA!A:J,10,0)</f>
        <v>0</v>
      </c>
      <c r="P3" s="269">
        <f>O3*0.0887</f>
        <v>0</v>
      </c>
      <c r="Q3" s="270">
        <f>(P3+O3)*0.2226</f>
        <v>0</v>
      </c>
      <c r="R3" s="275">
        <f>SUM(O3:Q3)</f>
        <v>0</v>
      </c>
      <c r="S3" s="277" t="e">
        <f>R3/R7</f>
        <v>#DIV/0!</v>
      </c>
    </row>
    <row r="4" spans="1:19" ht="24.95" customHeight="1">
      <c r="A4" s="242">
        <v>2</v>
      </c>
      <c r="B4" s="252" t="str">
        <f>UPPER(VLOOKUP(A4,PLANILHA!A:J,4,0))</f>
        <v>RESTAURO</v>
      </c>
      <c r="C4" s="259">
        <v>0</v>
      </c>
      <c r="D4" s="246">
        <f>O4/10</f>
        <v>0</v>
      </c>
      <c r="E4" s="246">
        <f>D4</f>
        <v>0</v>
      </c>
      <c r="F4" s="246">
        <f t="shared" ref="F4:M4" si="0">E4</f>
        <v>0</v>
      </c>
      <c r="G4" s="246">
        <f t="shared" si="0"/>
        <v>0</v>
      </c>
      <c r="H4" s="246">
        <f t="shared" si="0"/>
        <v>0</v>
      </c>
      <c r="I4" s="246">
        <f t="shared" si="0"/>
        <v>0</v>
      </c>
      <c r="J4" s="246">
        <f t="shared" si="0"/>
        <v>0</v>
      </c>
      <c r="K4" s="246">
        <f t="shared" si="0"/>
        <v>0</v>
      </c>
      <c r="L4" s="246">
        <f t="shared" si="0"/>
        <v>0</v>
      </c>
      <c r="M4" s="246">
        <f t="shared" si="0"/>
        <v>0</v>
      </c>
      <c r="N4" s="260">
        <v>0</v>
      </c>
      <c r="O4" s="258">
        <f>VLOOKUP(A4,PLANILHA!A:J,10,0)</f>
        <v>0</v>
      </c>
      <c r="P4" s="269">
        <f t="shared" ref="P4:P6" si="1">O4*0.0887</f>
        <v>0</v>
      </c>
      <c r="Q4" s="270">
        <f t="shared" ref="Q4:Q6" si="2">(P4+O4)*0.2226</f>
        <v>0</v>
      </c>
      <c r="R4" s="275">
        <f t="shared" ref="R4:R6" si="3">SUM(O4:Q4)</f>
        <v>0</v>
      </c>
      <c r="S4" s="277" t="e">
        <f>R4/$R$7</f>
        <v>#DIV/0!</v>
      </c>
    </row>
    <row r="5" spans="1:19" ht="24.95" customHeight="1">
      <c r="A5" s="242">
        <v>3</v>
      </c>
      <c r="B5" s="252" t="str">
        <f>UPPER(VLOOKUP(A5,PLANILHA!A:J,4,0))</f>
        <v>CONTENÇÕES E COBERTURAS</v>
      </c>
      <c r="C5" s="259">
        <v>0</v>
      </c>
      <c r="D5" s="260">
        <v>0</v>
      </c>
      <c r="E5" s="246">
        <f>O5/4</f>
        <v>0</v>
      </c>
      <c r="F5" s="246">
        <f>E5</f>
        <v>0</v>
      </c>
      <c r="G5" s="246">
        <f t="shared" ref="G5:H5" si="4">F5</f>
        <v>0</v>
      </c>
      <c r="H5" s="246">
        <f t="shared" si="4"/>
        <v>0</v>
      </c>
      <c r="I5" s="260">
        <v>0</v>
      </c>
      <c r="J5" s="260">
        <v>0</v>
      </c>
      <c r="K5" s="260">
        <v>0</v>
      </c>
      <c r="L5" s="260">
        <v>0</v>
      </c>
      <c r="M5" s="260">
        <v>0</v>
      </c>
      <c r="N5" s="260">
        <v>0</v>
      </c>
      <c r="O5" s="258">
        <f>VLOOKUP(A5,PLANILHA!A:J,10,0)</f>
        <v>0</v>
      </c>
      <c r="P5" s="269">
        <f t="shared" si="1"/>
        <v>0</v>
      </c>
      <c r="Q5" s="270">
        <f t="shared" si="2"/>
        <v>0</v>
      </c>
      <c r="R5" s="275">
        <f t="shared" si="3"/>
        <v>0</v>
      </c>
      <c r="S5" s="277" t="e">
        <f>R5/$R$7</f>
        <v>#DIV/0!</v>
      </c>
    </row>
    <row r="6" spans="1:19" ht="24.95" customHeight="1">
      <c r="A6" s="243">
        <v>4</v>
      </c>
      <c r="B6" s="253" t="str">
        <f>UPPER(VLOOKUP(A6,PLANILHA!A:J,4,0))</f>
        <v>LIMPEZA GERAL FINAL</v>
      </c>
      <c r="C6" s="261">
        <v>0</v>
      </c>
      <c r="D6" s="262">
        <v>0</v>
      </c>
      <c r="E6" s="262">
        <v>0</v>
      </c>
      <c r="F6" s="262">
        <v>0</v>
      </c>
      <c r="G6" s="262">
        <v>0</v>
      </c>
      <c r="H6" s="262">
        <v>0</v>
      </c>
      <c r="I6" s="262">
        <v>0</v>
      </c>
      <c r="J6" s="262">
        <v>0</v>
      </c>
      <c r="K6" s="262">
        <v>0</v>
      </c>
      <c r="L6" s="262">
        <v>0</v>
      </c>
      <c r="M6" s="262">
        <v>0</v>
      </c>
      <c r="N6" s="263">
        <f>O6</f>
        <v>0</v>
      </c>
      <c r="O6" s="264">
        <f>VLOOKUP(A6,PLANILHA!A:J,10,0)</f>
        <v>0</v>
      </c>
      <c r="P6" s="271">
        <f t="shared" si="1"/>
        <v>0</v>
      </c>
      <c r="Q6" s="272">
        <f t="shared" si="2"/>
        <v>0</v>
      </c>
      <c r="R6" s="276">
        <f t="shared" si="3"/>
        <v>0</v>
      </c>
      <c r="S6" s="278" t="e">
        <f>R6/$R$7</f>
        <v>#DIV/0!</v>
      </c>
    </row>
    <row r="7" spans="1:19" ht="30" customHeight="1">
      <c r="A7" s="247"/>
      <c r="B7" s="248" t="s">
        <v>290</v>
      </c>
      <c r="C7" s="265">
        <f>SUM(C3:C6)</f>
        <v>0</v>
      </c>
      <c r="D7" s="249">
        <f>SUM(D3:D6)</f>
        <v>0</v>
      </c>
      <c r="E7" s="249">
        <f>SUM(E3:E6)</f>
        <v>0</v>
      </c>
      <c r="F7" s="249">
        <f>SUM(F3:F6)</f>
        <v>0</v>
      </c>
      <c r="G7" s="249">
        <f t="shared" ref="G7:M7" si="5">SUM(G3:G6)</f>
        <v>0</v>
      </c>
      <c r="H7" s="249">
        <f t="shared" si="5"/>
        <v>0</v>
      </c>
      <c r="I7" s="249">
        <f t="shared" si="5"/>
        <v>0</v>
      </c>
      <c r="J7" s="249">
        <f t="shared" si="5"/>
        <v>0</v>
      </c>
      <c r="K7" s="249">
        <f t="shared" si="5"/>
        <v>0</v>
      </c>
      <c r="L7" s="249">
        <f t="shared" si="5"/>
        <v>0</v>
      </c>
      <c r="M7" s="249">
        <f t="shared" si="5"/>
        <v>0</v>
      </c>
      <c r="N7" s="249">
        <f>SUM(N3:N6)</f>
        <v>0</v>
      </c>
      <c r="O7" s="282">
        <f>SUM(O3:O6)</f>
        <v>0</v>
      </c>
      <c r="P7" s="273">
        <f>O7*0.0887</f>
        <v>0</v>
      </c>
      <c r="Q7" s="274">
        <f>(O7+P7)*0.2226</f>
        <v>0</v>
      </c>
      <c r="R7" s="274">
        <f>SUM(O7:Q7)</f>
        <v>0</v>
      </c>
      <c r="S7" s="279" t="e">
        <f>SUM(S3:S6)</f>
        <v>#DIV/0!</v>
      </c>
    </row>
    <row r="8" spans="1:19" ht="24.95" customHeight="1">
      <c r="A8" s="240"/>
      <c r="B8" s="241" t="s">
        <v>303</v>
      </c>
      <c r="C8" s="266">
        <f>C7*0.0887</f>
        <v>0</v>
      </c>
      <c r="D8" s="234">
        <f t="shared" ref="D8:O8" si="6">D7*0.0887</f>
        <v>0</v>
      </c>
      <c r="E8" s="234">
        <f t="shared" si="6"/>
        <v>0</v>
      </c>
      <c r="F8" s="234">
        <f t="shared" si="6"/>
        <v>0</v>
      </c>
      <c r="G8" s="234">
        <f t="shared" si="6"/>
        <v>0</v>
      </c>
      <c r="H8" s="234">
        <f t="shared" si="6"/>
        <v>0</v>
      </c>
      <c r="I8" s="234">
        <f t="shared" si="6"/>
        <v>0</v>
      </c>
      <c r="J8" s="234">
        <f t="shared" si="6"/>
        <v>0</v>
      </c>
      <c r="K8" s="234">
        <f t="shared" si="6"/>
        <v>0</v>
      </c>
      <c r="L8" s="234">
        <f t="shared" si="6"/>
        <v>0</v>
      </c>
      <c r="M8" s="234">
        <f t="shared" si="6"/>
        <v>0</v>
      </c>
      <c r="N8" s="234">
        <f t="shared" si="6"/>
        <v>0</v>
      </c>
      <c r="O8" s="237">
        <f t="shared" si="6"/>
        <v>0</v>
      </c>
      <c r="P8" s="293"/>
      <c r="Q8" s="291"/>
      <c r="R8" s="291"/>
      <c r="S8" s="239"/>
    </row>
    <row r="9" spans="1:19" ht="24.95" customHeight="1">
      <c r="A9" s="283"/>
      <c r="B9" s="284" t="s">
        <v>291</v>
      </c>
      <c r="C9" s="266">
        <f>(C8+C7)*0.2226</f>
        <v>0</v>
      </c>
      <c r="D9" s="234">
        <f t="shared" ref="D9:O9" si="7">(D8+D7)*0.2226</f>
        <v>0</v>
      </c>
      <c r="E9" s="234">
        <f t="shared" si="7"/>
        <v>0</v>
      </c>
      <c r="F9" s="234">
        <f t="shared" si="7"/>
        <v>0</v>
      </c>
      <c r="G9" s="234">
        <f t="shared" si="7"/>
        <v>0</v>
      </c>
      <c r="H9" s="234">
        <f t="shared" si="7"/>
        <v>0</v>
      </c>
      <c r="I9" s="234">
        <f t="shared" si="7"/>
        <v>0</v>
      </c>
      <c r="J9" s="234">
        <f t="shared" si="7"/>
        <v>0</v>
      </c>
      <c r="K9" s="234">
        <f t="shared" si="7"/>
        <v>0</v>
      </c>
      <c r="L9" s="234">
        <f t="shared" si="7"/>
        <v>0</v>
      </c>
      <c r="M9" s="234">
        <f t="shared" si="7"/>
        <v>0</v>
      </c>
      <c r="N9" s="234">
        <f t="shared" si="7"/>
        <v>0</v>
      </c>
      <c r="O9" s="237">
        <f t="shared" si="7"/>
        <v>0</v>
      </c>
      <c r="P9" s="294"/>
      <c r="Q9" s="238"/>
      <c r="R9" s="238"/>
      <c r="S9" s="292"/>
    </row>
    <row r="10" spans="1:19" s="237" customFormat="1" ht="30" customHeight="1">
      <c r="A10" s="285"/>
      <c r="B10" s="289" t="s">
        <v>305</v>
      </c>
      <c r="C10" s="286">
        <f>SUM(C7:C9)</f>
        <v>0</v>
      </c>
      <c r="D10" s="286">
        <f t="shared" ref="D10:N10" si="8">SUM(D7:D9)</f>
        <v>0</v>
      </c>
      <c r="E10" s="286">
        <f t="shared" si="8"/>
        <v>0</v>
      </c>
      <c r="F10" s="286">
        <f t="shared" si="8"/>
        <v>0</v>
      </c>
      <c r="G10" s="286">
        <f t="shared" si="8"/>
        <v>0</v>
      </c>
      <c r="H10" s="286">
        <f t="shared" si="8"/>
        <v>0</v>
      </c>
      <c r="I10" s="286">
        <f t="shared" si="8"/>
        <v>0</v>
      </c>
      <c r="J10" s="286">
        <f t="shared" si="8"/>
        <v>0</v>
      </c>
      <c r="K10" s="286">
        <f t="shared" si="8"/>
        <v>0</v>
      </c>
      <c r="L10" s="286">
        <f t="shared" si="8"/>
        <v>0</v>
      </c>
      <c r="M10" s="286">
        <f t="shared" si="8"/>
        <v>0</v>
      </c>
      <c r="N10" s="286">
        <f t="shared" si="8"/>
        <v>0</v>
      </c>
      <c r="O10" s="286">
        <f>SUM(O7:O9)</f>
        <v>0</v>
      </c>
      <c r="P10" s="294"/>
      <c r="Q10" s="238"/>
      <c r="R10" s="238"/>
      <c r="S10" s="292"/>
    </row>
    <row r="11" spans="1:19" ht="24.95" customHeight="1" thickBot="1">
      <c r="A11" s="287"/>
      <c r="B11" s="290" t="s">
        <v>306</v>
      </c>
      <c r="C11" s="288" t="e">
        <f t="shared" ref="C11:O11" si="9">C10/$O$10</f>
        <v>#DIV/0!</v>
      </c>
      <c r="D11" s="288" t="e">
        <f t="shared" ref="D11" si="10">D10/$O$10</f>
        <v>#DIV/0!</v>
      </c>
      <c r="E11" s="288" t="e">
        <f t="shared" ref="E11" si="11">E10/$O$10</f>
        <v>#DIV/0!</v>
      </c>
      <c r="F11" s="288" t="e">
        <f t="shared" ref="F11" si="12">F10/$O$10</f>
        <v>#DIV/0!</v>
      </c>
      <c r="G11" s="288" t="e">
        <f t="shared" ref="G11" si="13">G10/$O$10</f>
        <v>#DIV/0!</v>
      </c>
      <c r="H11" s="288" t="e">
        <f t="shared" ref="H11" si="14">H10/$O$10</f>
        <v>#DIV/0!</v>
      </c>
      <c r="I11" s="288" t="e">
        <f t="shared" ref="I11" si="15">I10/$O$10</f>
        <v>#DIV/0!</v>
      </c>
      <c r="J11" s="288" t="e">
        <f t="shared" ref="J11" si="16">J10/$O$10</f>
        <v>#DIV/0!</v>
      </c>
      <c r="K11" s="288" t="e">
        <f t="shared" ref="K11" si="17">K10/$O$10</f>
        <v>#DIV/0!</v>
      </c>
      <c r="L11" s="288" t="e">
        <f t="shared" ref="L11" si="18">L10/$O$10</f>
        <v>#DIV/0!</v>
      </c>
      <c r="M11" s="288" t="e">
        <f t="shared" ref="M11" si="19">M10/$O$10</f>
        <v>#DIV/0!</v>
      </c>
      <c r="N11" s="288" t="e">
        <f t="shared" ref="N11" si="20">N10/$O$10</f>
        <v>#DIV/0!</v>
      </c>
      <c r="O11" s="288" t="e">
        <f t="shared" si="9"/>
        <v>#DIV/0!</v>
      </c>
      <c r="P11" s="295"/>
      <c r="Q11" s="296"/>
      <c r="R11" s="297"/>
      <c r="S11" s="298"/>
    </row>
    <row r="21" spans="15:15">
      <c r="O21" s="260"/>
    </row>
  </sheetData>
  <printOptions horizontalCentered="1"/>
  <pageMargins left="0.39370078740157483" right="0.19685039370078741" top="0.83958333333333335" bottom="0.19685039370078741" header="0" footer="0"/>
  <pageSetup paperSize="9" scale="65" orientation="landscape" r:id="rId1"/>
  <headerFooter>
    <oddHeader>&amp;L&amp;G&amp;C&amp;"-,Negrito"&amp;14RESTAURO E CONTENÇÃO RUÍNAS PEIA&amp;RPlanilha de Custos
 CDHU 190 - 06/2023
SINAPI - 06/2023
ORSE - 06/2023
COTAÇÕES DE MERCADO - atualizadas INCC 06/2023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view="pageBreakPreview" zoomScaleNormal="90" zoomScaleSheetLayoutView="100" zoomScalePageLayoutView="70" workbookViewId="0">
      <selection activeCell="B34" sqref="B33:B34"/>
    </sheetView>
  </sheetViews>
  <sheetFormatPr defaultColWidth="8.85546875" defaultRowHeight="15"/>
  <cols>
    <col min="1" max="1" width="12.85546875" bestFit="1" customWidth="1"/>
    <col min="2" max="2" width="98.28515625" customWidth="1"/>
    <col min="3" max="3" width="15.42578125" style="62" customWidth="1"/>
    <col min="4" max="6" width="15.42578125" style="63" customWidth="1"/>
    <col min="7" max="7" width="15.42578125" style="64" customWidth="1"/>
    <col min="8" max="8" width="15.42578125" style="63" customWidth="1"/>
  </cols>
  <sheetData>
    <row r="1" spans="1:8">
      <c r="A1" s="195" t="s">
        <v>95</v>
      </c>
      <c r="B1" s="195" t="s">
        <v>96</v>
      </c>
      <c r="C1" s="196" t="s">
        <v>97</v>
      </c>
      <c r="D1" s="197" t="s">
        <v>98</v>
      </c>
      <c r="E1" s="197" t="s">
        <v>99</v>
      </c>
      <c r="F1" s="197" t="s">
        <v>100</v>
      </c>
      <c r="G1" s="198" t="s">
        <v>101</v>
      </c>
      <c r="H1" s="197" t="s">
        <v>18</v>
      </c>
    </row>
    <row r="2" spans="1:8">
      <c r="A2" s="59" t="s">
        <v>28</v>
      </c>
      <c r="B2" s="56" t="s">
        <v>29</v>
      </c>
      <c r="C2" s="57" t="s">
        <v>102</v>
      </c>
      <c r="D2" s="58">
        <f t="shared" ref="D2:E2" si="0">SUM(D3:D4)</f>
        <v>3.49</v>
      </c>
      <c r="E2" s="58">
        <f t="shared" si="0"/>
        <v>9.89</v>
      </c>
      <c r="F2" s="58">
        <f>SUM(F3:F4)</f>
        <v>13.38</v>
      </c>
      <c r="G2" s="157">
        <v>300</v>
      </c>
      <c r="H2" s="58">
        <f>G2*F2</f>
        <v>4014.0000000000005</v>
      </c>
    </row>
    <row r="3" spans="1:8">
      <c r="A3" s="59" t="s">
        <v>103</v>
      </c>
      <c r="B3" s="59" t="s">
        <v>104</v>
      </c>
      <c r="C3" s="60" t="s">
        <v>102</v>
      </c>
      <c r="D3" s="61">
        <v>0.74</v>
      </c>
      <c r="E3" s="61">
        <f>1.41+1.57+3.59</f>
        <v>6.57</v>
      </c>
      <c r="F3" s="61">
        <f>D3+E3</f>
        <v>7.3100000000000005</v>
      </c>
      <c r="G3" s="61"/>
      <c r="H3" s="61"/>
    </row>
    <row r="4" spans="1:8">
      <c r="A4" s="59" t="s">
        <v>105</v>
      </c>
      <c r="B4" s="59" t="s">
        <v>106</v>
      </c>
      <c r="C4" s="60" t="s">
        <v>79</v>
      </c>
      <c r="D4" s="61">
        <v>2.75</v>
      </c>
      <c r="E4" s="61">
        <v>3.32</v>
      </c>
      <c r="F4" s="61">
        <v>6.07</v>
      </c>
      <c r="G4" s="61"/>
      <c r="H4" s="61"/>
    </row>
    <row r="5" spans="1:8">
      <c r="A5" s="59"/>
    </row>
    <row r="6" spans="1:8">
      <c r="A6" s="59" t="s">
        <v>76</v>
      </c>
      <c r="B6" s="56" t="s">
        <v>77</v>
      </c>
      <c r="C6" s="57" t="s">
        <v>87</v>
      </c>
      <c r="D6" s="58">
        <f t="shared" ref="D6" si="1">SUM(D7:D9)</f>
        <v>76.37</v>
      </c>
      <c r="E6" s="58">
        <f>F8+F9</f>
        <v>0.85499999999999998</v>
      </c>
      <c r="F6" s="58">
        <f>SUM(F7:F9)+0.01</f>
        <v>8.5020000000000007</v>
      </c>
      <c r="G6" s="58">
        <v>1</v>
      </c>
      <c r="H6" s="157">
        <f>F6*G6</f>
        <v>8.5020000000000007</v>
      </c>
    </row>
    <row r="7" spans="1:8">
      <c r="A7" s="59" t="s">
        <v>107</v>
      </c>
      <c r="B7" s="59" t="str">
        <f>VLOOKUP(A7,[2]COTAÇÕES!B:F,2,FALSE)</f>
        <v>CONVERTEDOR DE FERRUGEM</v>
      </c>
      <c r="C7" s="60" t="str">
        <f>VLOOKUP(A7,[2]COTAÇÕES!B:F,3,FALSE)</f>
        <v>Litros</v>
      </c>
      <c r="D7" s="61">
        <v>76.37</v>
      </c>
      <c r="E7" s="61"/>
      <c r="F7" s="61">
        <f>D7*G7</f>
        <v>7.6370000000000005</v>
      </c>
      <c r="G7" s="61">
        <v>0.1</v>
      </c>
      <c r="H7" s="61"/>
    </row>
    <row r="8" spans="1:8">
      <c r="A8" s="59" t="s">
        <v>108</v>
      </c>
      <c r="B8" s="59" t="s">
        <v>109</v>
      </c>
      <c r="C8" s="60" t="s">
        <v>110</v>
      </c>
      <c r="D8" s="61"/>
      <c r="E8" s="61">
        <v>5</v>
      </c>
      <c r="F8" s="61">
        <f>G8*E8</f>
        <v>0.5</v>
      </c>
      <c r="G8" s="61">
        <v>0.1</v>
      </c>
      <c r="H8" s="61"/>
    </row>
    <row r="9" spans="1:8">
      <c r="A9" s="59" t="s">
        <v>111</v>
      </c>
      <c r="B9" s="59" t="s">
        <v>112</v>
      </c>
      <c r="C9" s="60" t="s">
        <v>110</v>
      </c>
      <c r="D9" s="61"/>
      <c r="E9" s="61">
        <v>3.55</v>
      </c>
      <c r="F9" s="61">
        <f>G9*E9</f>
        <v>0.35499999999999998</v>
      </c>
      <c r="G9" s="61">
        <v>0.1</v>
      </c>
      <c r="H9" s="61"/>
    </row>
    <row r="10" spans="1:8">
      <c r="A10" s="59"/>
    </row>
    <row r="11" spans="1:8">
      <c r="A11" s="59" t="s">
        <v>63</v>
      </c>
      <c r="B11" s="56" t="s">
        <v>64</v>
      </c>
      <c r="C11" s="57" t="s">
        <v>26</v>
      </c>
      <c r="D11" s="58">
        <f t="shared" ref="D11" si="2">SUM(D12:D15)</f>
        <v>178.69333333333333</v>
      </c>
      <c r="E11" s="58">
        <f>F14+F15</f>
        <v>4.3499999999999996</v>
      </c>
      <c r="F11" s="58">
        <f>SUM(F12:F15)</f>
        <v>71.157833333333343</v>
      </c>
      <c r="G11" s="58">
        <v>1</v>
      </c>
      <c r="H11" s="157">
        <f>F11*G11</f>
        <v>71.157833333333343</v>
      </c>
    </row>
    <row r="12" spans="1:8">
      <c r="A12" s="59" t="s">
        <v>113</v>
      </c>
      <c r="B12" s="59" t="str">
        <f>VLOOKUP(A12,[2]COTAÇÕES!B:F,2,FALSE)</f>
        <v>RESINA VEGETAL - COLOFÔNIA</v>
      </c>
      <c r="C12" s="60" t="str">
        <f>VLOOKUP(A12,[2]COTAÇÕES!B:F,3,FALSE)</f>
        <v>Kg</v>
      </c>
      <c r="D12" s="61">
        <v>131.63</v>
      </c>
      <c r="E12" s="61"/>
      <c r="F12" s="61">
        <f>D12*G12</f>
        <v>19.744499999999999</v>
      </c>
      <c r="G12" s="61">
        <v>0.15</v>
      </c>
      <c r="H12" s="61"/>
    </row>
    <row r="13" spans="1:8">
      <c r="A13" s="59" t="s">
        <v>114</v>
      </c>
      <c r="B13" s="59" t="str">
        <f>VLOOKUP(A13,[2]COTAÇÕES!B:F,2,FALSE)</f>
        <v>ÁLCOOL ISOPRPOPÍLICO</v>
      </c>
      <c r="C13" s="60" t="str">
        <f>VLOOKUP(A13,[2]COTAÇÕES!B:F,3,FALSE)</f>
        <v>Litros</v>
      </c>
      <c r="D13" s="61">
        <f>VLOOKUP(A13,[2]COTAÇÕES!$B:$F,4,FALSE)</f>
        <v>47.063333333333333</v>
      </c>
      <c r="E13" s="61"/>
      <c r="F13" s="61">
        <f>D13*G13</f>
        <v>47.063333333333333</v>
      </c>
      <c r="G13" s="61">
        <v>1</v>
      </c>
      <c r="H13" s="61"/>
    </row>
    <row r="14" spans="1:8">
      <c r="A14" s="59" t="s">
        <v>115</v>
      </c>
      <c r="B14" s="59" t="s">
        <v>116</v>
      </c>
      <c r="C14" s="60" t="s">
        <v>110</v>
      </c>
      <c r="D14" s="61"/>
      <c r="E14" s="61">
        <v>5.24</v>
      </c>
      <c r="F14" s="61">
        <f>G14*E14</f>
        <v>2.62</v>
      </c>
      <c r="G14" s="61">
        <v>0.5</v>
      </c>
      <c r="H14" s="61"/>
    </row>
    <row r="15" spans="1:8">
      <c r="A15" s="59" t="s">
        <v>117</v>
      </c>
      <c r="B15" s="59" t="s">
        <v>118</v>
      </c>
      <c r="C15" s="60" t="s">
        <v>110</v>
      </c>
      <c r="D15" s="61"/>
      <c r="E15" s="61">
        <v>3.46</v>
      </c>
      <c r="F15" s="61">
        <f>G15*E15</f>
        <v>1.73</v>
      </c>
      <c r="G15" s="61">
        <v>0.5</v>
      </c>
      <c r="H15" s="61"/>
    </row>
    <row r="16" spans="1:8">
      <c r="A16" s="59"/>
    </row>
    <row r="17" spans="1:8">
      <c r="A17" s="59" t="s">
        <v>65</v>
      </c>
      <c r="B17" s="56" t="s">
        <v>66</v>
      </c>
      <c r="C17" s="57" t="s">
        <v>26</v>
      </c>
      <c r="D17" s="58">
        <f t="shared" ref="D17" si="3">SUM(D18:D21)</f>
        <v>469.06333333333333</v>
      </c>
      <c r="E17" s="58">
        <f>F20+F21</f>
        <v>4.3499999999999996</v>
      </c>
      <c r="F17" s="58">
        <f>SUM(F18:F21)</f>
        <v>229.46899999999999</v>
      </c>
      <c r="G17" s="58">
        <v>1</v>
      </c>
      <c r="H17" s="157">
        <f>F17*G17</f>
        <v>229.46899999999999</v>
      </c>
    </row>
    <row r="18" spans="1:8">
      <c r="A18" s="59" t="s">
        <v>119</v>
      </c>
      <c r="B18" s="59" t="s">
        <v>120</v>
      </c>
      <c r="C18" s="60" t="s">
        <v>90</v>
      </c>
      <c r="D18" s="61">
        <v>422</v>
      </c>
      <c r="E18" s="61"/>
      <c r="F18" s="61">
        <f>D18*G18</f>
        <v>211</v>
      </c>
      <c r="G18" s="61">
        <v>0.5</v>
      </c>
      <c r="H18" s="61"/>
    </row>
    <row r="19" spans="1:8">
      <c r="A19" s="59" t="s">
        <v>114</v>
      </c>
      <c r="B19" s="59" t="str">
        <f>VLOOKUP(A19,[2]COTAÇÕES!B:F,2,FALSE)</f>
        <v>ÁLCOOL ISOPRPOPÍLICO</v>
      </c>
      <c r="C19" s="60" t="str">
        <f>VLOOKUP(A19,[2]COTAÇÕES!B:F,3,FALSE)</f>
        <v>Litros</v>
      </c>
      <c r="D19" s="61">
        <f>VLOOKUP(A19,[2]COTAÇÕES!$B:$F,4,FALSE)</f>
        <v>47.063333333333333</v>
      </c>
      <c r="E19" s="61"/>
      <c r="F19" s="61">
        <f>D19*G19</f>
        <v>14.119</v>
      </c>
      <c r="G19" s="61">
        <v>0.3</v>
      </c>
      <c r="H19" s="61"/>
    </row>
    <row r="20" spans="1:8">
      <c r="A20" s="59" t="s">
        <v>115</v>
      </c>
      <c r="B20" s="59" t="s">
        <v>116</v>
      </c>
      <c r="C20" s="60" t="s">
        <v>110</v>
      </c>
      <c r="D20" s="61"/>
      <c r="E20" s="61">
        <v>5.24</v>
      </c>
      <c r="F20" s="61">
        <f>G20*E20</f>
        <v>2.62</v>
      </c>
      <c r="G20" s="61">
        <v>0.5</v>
      </c>
      <c r="H20" s="61"/>
    </row>
    <row r="21" spans="1:8">
      <c r="A21" s="59" t="s">
        <v>117</v>
      </c>
      <c r="B21" s="59" t="s">
        <v>118</v>
      </c>
      <c r="C21" s="60" t="s">
        <v>110</v>
      </c>
      <c r="D21" s="61"/>
      <c r="E21" s="61">
        <v>3.46</v>
      </c>
      <c r="F21" s="61">
        <f>G21*E21</f>
        <v>1.73</v>
      </c>
      <c r="G21" s="61">
        <v>0.5</v>
      </c>
      <c r="H21" s="61"/>
    </row>
    <row r="22" spans="1:8">
      <c r="A22" s="59"/>
    </row>
    <row r="23" spans="1:8">
      <c r="A23" s="59" t="s">
        <v>67</v>
      </c>
      <c r="B23" s="56" t="s">
        <v>68</v>
      </c>
      <c r="C23" s="57" t="s">
        <v>26</v>
      </c>
      <c r="D23" s="58">
        <f>F24+F25</f>
        <v>217.71899999999999</v>
      </c>
      <c r="E23" s="58">
        <f>F26+F27</f>
        <v>4.3499999999999996</v>
      </c>
      <c r="F23" s="58">
        <f>SUM(F24:F27)</f>
        <v>222.06899999999999</v>
      </c>
      <c r="G23" s="58">
        <v>1</v>
      </c>
      <c r="H23" s="58">
        <f>F23*G23</f>
        <v>222.06899999999999</v>
      </c>
    </row>
    <row r="24" spans="1:8">
      <c r="A24" s="59" t="s">
        <v>121</v>
      </c>
      <c r="B24" s="59" t="str">
        <f>VLOOKUP(A24,[2]COTAÇÕES!B:F,2,FALSE)</f>
        <v>COLA PELE DE COELHO</v>
      </c>
      <c r="C24" s="60" t="str">
        <f>VLOOKUP(A24,[2]COTAÇÕES!B:F,3,FALSE)</f>
        <v>Gramas</v>
      </c>
      <c r="D24" s="61">
        <v>407.2</v>
      </c>
      <c r="E24" s="61"/>
      <c r="F24" s="61">
        <f>D24*G24</f>
        <v>203.6</v>
      </c>
      <c r="G24" s="61">
        <v>0.5</v>
      </c>
      <c r="H24" s="61"/>
    </row>
    <row r="25" spans="1:8">
      <c r="A25" s="59" t="s">
        <v>114</v>
      </c>
      <c r="B25" s="59" t="str">
        <f>VLOOKUP(A25,[2]COTAÇÕES!B:F,2,FALSE)</f>
        <v>ÁLCOOL ISOPRPOPÍLICO</v>
      </c>
      <c r="C25" s="60" t="str">
        <f>VLOOKUP(A25,[2]COTAÇÕES!B:F,3,FALSE)</f>
        <v>Litros</v>
      </c>
      <c r="D25" s="61">
        <f>VLOOKUP(A25,[2]COTAÇÕES!$B:$F,4,FALSE)</f>
        <v>47.063333333333333</v>
      </c>
      <c r="E25" s="61"/>
      <c r="F25" s="61">
        <f>D25*G25</f>
        <v>14.119</v>
      </c>
      <c r="G25" s="61">
        <v>0.3</v>
      </c>
      <c r="H25" s="61"/>
    </row>
    <row r="26" spans="1:8">
      <c r="A26" s="59" t="s">
        <v>115</v>
      </c>
      <c r="B26" s="59" t="s">
        <v>116</v>
      </c>
      <c r="C26" s="60" t="s">
        <v>110</v>
      </c>
      <c r="D26" s="61"/>
      <c r="E26" s="61">
        <v>5.24</v>
      </c>
      <c r="F26" s="61">
        <f>G26*E26</f>
        <v>2.62</v>
      </c>
      <c r="G26" s="61">
        <v>0.5</v>
      </c>
      <c r="H26" s="61"/>
    </row>
    <row r="27" spans="1:8">
      <c r="A27" s="59" t="s">
        <v>117</v>
      </c>
      <c r="B27" s="59" t="s">
        <v>118</v>
      </c>
      <c r="C27" s="60" t="s">
        <v>110</v>
      </c>
      <c r="D27" s="61"/>
      <c r="E27" s="61">
        <v>3.46</v>
      </c>
      <c r="F27" s="61">
        <f>G27*E27</f>
        <v>1.73</v>
      </c>
      <c r="G27" s="61">
        <v>0.5</v>
      </c>
      <c r="H27" s="61"/>
    </row>
    <row r="28" spans="1:8">
      <c r="A28" s="59"/>
    </row>
    <row r="29" spans="1:8">
      <c r="A29" s="59" t="s">
        <v>69</v>
      </c>
      <c r="B29" s="56" t="s">
        <v>70</v>
      </c>
      <c r="C29" s="57" t="s">
        <v>26</v>
      </c>
      <c r="D29" s="58">
        <f>SUM(F30:F35)</f>
        <v>342.16999999999996</v>
      </c>
      <c r="E29" s="58">
        <f>F36+F37</f>
        <v>4.3499999999999996</v>
      </c>
      <c r="F29" s="58">
        <f>SUM(F30:F37)</f>
        <v>346.52</v>
      </c>
      <c r="G29" s="58">
        <v>1</v>
      </c>
      <c r="H29" s="157">
        <f>F29*G29</f>
        <v>346.52</v>
      </c>
    </row>
    <row r="30" spans="1:8">
      <c r="A30" s="59" t="s">
        <v>122</v>
      </c>
      <c r="B30" s="59" t="str">
        <f>VLOOKUP(A30,[2]COTAÇÕES!B:F,2,FALSE)</f>
        <v>E.D.T.A. (SAL DISSÓDICO)</v>
      </c>
      <c r="C30" s="60" t="str">
        <f>VLOOKUP(A30,[2]COTAÇÕES!B:F,3,FALSE)</f>
        <v>Gramas</v>
      </c>
      <c r="D30" s="61">
        <v>89.23</v>
      </c>
      <c r="E30" s="61"/>
      <c r="F30" s="61">
        <f t="shared" ref="F30:F35" si="4">D30*G30</f>
        <v>62.460999999999999</v>
      </c>
      <c r="G30" s="61">
        <v>0.7</v>
      </c>
      <c r="H30" s="61"/>
    </row>
    <row r="31" spans="1:8">
      <c r="A31" s="59" t="s">
        <v>123</v>
      </c>
      <c r="B31" s="59" t="str">
        <f>VLOOKUP(A31,[2]COTAÇÕES!B:F,2,FALSE)</f>
        <v>GLICERINA LÍQUIDA</v>
      </c>
      <c r="C31" s="60" t="str">
        <f>VLOOKUP(A31,[2]COTAÇÕES!B:F,3,FALSE)</f>
        <v>Litros</v>
      </c>
      <c r="D31" s="61">
        <f>VLOOKUP(A31,[2]COTAÇÕES!$B:$F,4,FALSE)</f>
        <v>37.633333333333333</v>
      </c>
      <c r="E31" s="61"/>
      <c r="F31" s="61">
        <f t="shared" si="4"/>
        <v>22.58</v>
      </c>
      <c r="G31" s="61">
        <v>0.6</v>
      </c>
      <c r="H31" s="61"/>
    </row>
    <row r="32" spans="1:8">
      <c r="A32" s="59" t="s">
        <v>124</v>
      </c>
      <c r="B32" s="59" t="str">
        <f>VLOOKUP(A32,[2]COTAÇÕES!B:F,2,FALSE)</f>
        <v>AGUARRÁS</v>
      </c>
      <c r="C32" s="60" t="str">
        <f>VLOOKUP(A32,[2]COTAÇÕES!B:F,3,FALSE)</f>
        <v>Litros</v>
      </c>
      <c r="D32" s="61">
        <f>VLOOKUP(A32,[2]COTAÇÕES!$B:$F,4,FALSE)</f>
        <v>15.566666666666668</v>
      </c>
      <c r="E32" s="61"/>
      <c r="F32" s="61">
        <f t="shared" si="4"/>
        <v>4.67</v>
      </c>
      <c r="G32" s="61">
        <v>0.3</v>
      </c>
      <c r="H32" s="61"/>
    </row>
    <row r="33" spans="1:8">
      <c r="A33" s="59" t="s">
        <v>125</v>
      </c>
      <c r="B33" s="59" t="str">
        <f>VLOOKUP(A33,[2]COTAÇÕES!B:F,2,FALSE)</f>
        <v>BENZINA RETIFICADA (H3(CH2)4CH3, reagente analítico) com gravidade específica a 25ºC min 0,687</v>
      </c>
      <c r="C33" s="60" t="str">
        <f>VLOOKUP(A33,[2]COTAÇÕES!B:F,3,FALSE)</f>
        <v>Litros</v>
      </c>
      <c r="D33" s="61">
        <f>VLOOKUP(A33,[2]COTAÇÕES!$B:$F,4,FALSE)</f>
        <v>27.533333333333331</v>
      </c>
      <c r="E33" s="61"/>
      <c r="F33" s="61">
        <f t="shared" si="4"/>
        <v>8.26</v>
      </c>
      <c r="G33" s="61">
        <v>0.3</v>
      </c>
      <c r="H33" s="61"/>
    </row>
    <row r="34" spans="1:8">
      <c r="A34" s="59" t="s">
        <v>126</v>
      </c>
      <c r="B34" s="59" t="str">
        <f>VLOOKUP(A34,[2]COTAÇÕES!B:F,2,FALSE)</f>
        <v>PERMAGANATO DE POTÁSSIO</v>
      </c>
      <c r="C34" s="60" t="str">
        <f>VLOOKUP(A34,[2]COTAÇÕES!B:F,3,FALSE)</f>
        <v>Kg</v>
      </c>
      <c r="D34" s="61">
        <f>VLOOKUP(A34,[2]COTAÇÕES!$B:$F,4,FALSE)</f>
        <v>91.333333333333329</v>
      </c>
      <c r="E34" s="61"/>
      <c r="F34" s="61">
        <f t="shared" si="4"/>
        <v>27.4</v>
      </c>
      <c r="G34" s="61">
        <v>0.3</v>
      </c>
      <c r="H34" s="61"/>
    </row>
    <row r="35" spans="1:8">
      <c r="A35" s="59" t="s">
        <v>86</v>
      </c>
      <c r="B35" s="59" t="str">
        <f>VLOOKUP(A35,[2]COTAÇÕES!B:F,2,FALSE)</f>
        <v>FOGÃO 4 BOCAS</v>
      </c>
      <c r="C35" s="60" t="str">
        <f>VLOOKUP(A35,[2]COTAÇÕES!B:F,3,FALSE)</f>
        <v xml:space="preserve">UN </v>
      </c>
      <c r="D35" s="61">
        <f>VLOOKUP(A35,[2]COTAÇÕES!$B:$F,4,FALSE)</f>
        <v>722.6633333333333</v>
      </c>
      <c r="E35" s="61"/>
      <c r="F35" s="61">
        <f t="shared" si="4"/>
        <v>216.79899999999998</v>
      </c>
      <c r="G35" s="61">
        <v>0.3</v>
      </c>
      <c r="H35" s="61"/>
    </row>
    <row r="36" spans="1:8">
      <c r="A36" s="59" t="s">
        <v>115</v>
      </c>
      <c r="B36" s="59" t="s">
        <v>116</v>
      </c>
      <c r="C36" s="60" t="s">
        <v>110</v>
      </c>
      <c r="D36" s="61"/>
      <c r="E36" s="61">
        <v>5.24</v>
      </c>
      <c r="F36" s="61">
        <f>G36*E36</f>
        <v>2.62</v>
      </c>
      <c r="G36" s="61">
        <v>0.5</v>
      </c>
      <c r="H36" s="61"/>
    </row>
    <row r="37" spans="1:8">
      <c r="A37" s="59" t="s">
        <v>117</v>
      </c>
      <c r="B37" s="59" t="s">
        <v>118</v>
      </c>
      <c r="C37" s="60" t="s">
        <v>110</v>
      </c>
      <c r="D37" s="61"/>
      <c r="E37" s="61">
        <v>3.46</v>
      </c>
      <c r="F37" s="61">
        <f>G37*E37</f>
        <v>1.73</v>
      </c>
      <c r="G37" s="61">
        <v>0.5</v>
      </c>
      <c r="H37" s="61"/>
    </row>
    <row r="38" spans="1:8">
      <c r="A38" s="59"/>
    </row>
    <row r="39" spans="1:8">
      <c r="A39" s="59" t="s">
        <v>88</v>
      </c>
      <c r="B39" s="56" t="s">
        <v>89</v>
      </c>
      <c r="C39" s="57" t="s">
        <v>26</v>
      </c>
      <c r="D39" s="58">
        <f>F40</f>
        <v>27.00333333333333</v>
      </c>
      <c r="E39" s="58">
        <f>F41+F42</f>
        <v>4.9850500000000002</v>
      </c>
      <c r="F39" s="58">
        <f>SUM(F40:F42)</f>
        <v>31.988383333333331</v>
      </c>
      <c r="G39" s="58">
        <v>1</v>
      </c>
      <c r="H39" s="157">
        <f>F39*G39</f>
        <v>31.988383333333331</v>
      </c>
    </row>
    <row r="40" spans="1:8">
      <c r="A40" s="59" t="s">
        <v>127</v>
      </c>
      <c r="B40" s="59" t="str">
        <f>VLOOKUP(A40,[2]COTAÇÕES!B:F,2,FALSE)</f>
        <v>FITA DE LED</v>
      </c>
      <c r="C40" s="60" t="str">
        <f>VLOOKUP(A40,[2]COTAÇÕES!B:F,3,FALSE)</f>
        <v>Metros</v>
      </c>
      <c r="D40" s="61">
        <f>VLOOKUP(A40,[2]COTAÇÕES!$B:$F,4,FALSE)</f>
        <v>27.00333333333333</v>
      </c>
      <c r="E40" s="61">
        <v>5</v>
      </c>
      <c r="F40" s="61">
        <f>G40*D40</f>
        <v>27.00333333333333</v>
      </c>
      <c r="G40" s="61">
        <v>1</v>
      </c>
      <c r="H40" s="61"/>
    </row>
    <row r="41" spans="1:8">
      <c r="A41" s="59" t="s">
        <v>128</v>
      </c>
      <c r="B41" s="59" t="s">
        <v>129</v>
      </c>
      <c r="C41" s="60" t="s">
        <v>110</v>
      </c>
      <c r="D41" s="61"/>
      <c r="E41" s="61">
        <v>17.8</v>
      </c>
      <c r="F41" s="61">
        <f>G41*E41</f>
        <v>1.2282000000000002</v>
      </c>
      <c r="G41" s="61">
        <v>6.9000000000000006E-2</v>
      </c>
      <c r="H41" s="61"/>
    </row>
    <row r="42" spans="1:8">
      <c r="A42" s="59" t="s">
        <v>130</v>
      </c>
      <c r="B42" s="59" t="s">
        <v>131</v>
      </c>
      <c r="C42" s="60" t="s">
        <v>110</v>
      </c>
      <c r="D42" s="61"/>
      <c r="E42" s="61">
        <v>22.7</v>
      </c>
      <c r="F42" s="61">
        <f>G42*E42</f>
        <v>3.75685</v>
      </c>
      <c r="G42" s="61">
        <v>0.16550000000000001</v>
      </c>
      <c r="H42" s="61"/>
    </row>
  </sheetData>
  <pageMargins left="0.51181102362204722" right="0.51181102362204722" top="0.78740157480314965" bottom="0.78740157480314965" header="0.31496062992125984" footer="0.31496062992125984"/>
  <pageSetup paperSize="9" scale="45" orientation="portrait" r:id="rId1"/>
  <headerFooter>
    <oddHeader>&amp;CPE ILHA ANCHIETA
RESTAURAÇÃO DAS RUÍNAS
COMPOSIÇÃO DE ITENS ESPECÍFICOS</oddHeader>
    <oddFooter>&amp;CAv. Prof. Frederico Hermann Júnior, 345 - Prédio 12, 1° andar - Pinheiros - 05.459-010 São Paulo
(11) 2997-5000             www. fflorestal.sp.gov.br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3"/>
  <sheetViews>
    <sheetView showWhiteSpace="0" view="pageLayout" zoomScaleNormal="90" zoomScaleSheetLayoutView="100" workbookViewId="0">
      <selection activeCell="H22" sqref="H22"/>
    </sheetView>
  </sheetViews>
  <sheetFormatPr defaultColWidth="9.140625" defaultRowHeight="14.25"/>
  <cols>
    <col min="1" max="1" width="10.140625" style="159" customWidth="1"/>
    <col min="2" max="2" width="20.85546875" style="159" bestFit="1" customWidth="1"/>
    <col min="3" max="3" width="72.5703125" style="178" bestFit="1" customWidth="1"/>
    <col min="4" max="4" width="10" style="159" bestFit="1" customWidth="1"/>
    <col min="5" max="5" width="13.7109375" style="159" customWidth="1"/>
    <col min="6" max="6" width="11.28515625" style="159" hidden="1" customWidth="1"/>
    <col min="7" max="7" width="12.7109375" style="159" hidden="1" customWidth="1"/>
    <col min="8" max="8" width="15" style="159" customWidth="1"/>
    <col min="9" max="9" width="17.5703125" style="159" bestFit="1" customWidth="1"/>
    <col min="10" max="11" width="9.140625" style="159"/>
    <col min="12" max="12" width="11.5703125" style="159" bestFit="1" customWidth="1"/>
    <col min="13" max="16384" width="9.140625" style="159"/>
  </cols>
  <sheetData>
    <row r="1" spans="1:12" ht="15">
      <c r="A1" s="318" t="s">
        <v>0</v>
      </c>
      <c r="B1" s="320" t="s">
        <v>279</v>
      </c>
      <c r="C1" s="322" t="s">
        <v>1</v>
      </c>
      <c r="D1" s="324" t="s">
        <v>2</v>
      </c>
      <c r="E1" s="326" t="s">
        <v>3</v>
      </c>
      <c r="F1" s="316" t="s">
        <v>4</v>
      </c>
      <c r="G1" s="316"/>
      <c r="H1" s="316"/>
      <c r="I1" s="317"/>
    </row>
    <row r="2" spans="1:12" ht="15.75" thickBot="1">
      <c r="A2" s="319"/>
      <c r="B2" s="321"/>
      <c r="C2" s="323"/>
      <c r="D2" s="325"/>
      <c r="E2" s="327"/>
      <c r="F2" s="160" t="s">
        <v>5</v>
      </c>
      <c r="G2" s="160" t="s">
        <v>6</v>
      </c>
      <c r="H2" s="160" t="s">
        <v>7</v>
      </c>
      <c r="I2" s="161" t="s">
        <v>8</v>
      </c>
    </row>
    <row r="3" spans="1:12" ht="31.5">
      <c r="A3" s="162">
        <v>1</v>
      </c>
      <c r="B3" s="163"/>
      <c r="C3" s="164" t="s">
        <v>272</v>
      </c>
      <c r="D3" s="165"/>
      <c r="E3" s="166"/>
      <c r="F3" s="166"/>
      <c r="G3" s="166"/>
      <c r="H3" s="166"/>
      <c r="I3" s="167">
        <f>SUM(I4:I7)</f>
        <v>0</v>
      </c>
    </row>
    <row r="4" spans="1:12" ht="45">
      <c r="A4" s="168" t="s">
        <v>273</v>
      </c>
      <c r="B4" s="169" t="s">
        <v>274</v>
      </c>
      <c r="C4" s="170" t="s">
        <v>280</v>
      </c>
      <c r="D4" s="171" t="s">
        <v>271</v>
      </c>
      <c r="E4" s="171">
        <f>(1.25*22)*12</f>
        <v>330</v>
      </c>
      <c r="F4" s="172"/>
      <c r="G4" s="172"/>
      <c r="H4" s="180"/>
      <c r="I4" s="181">
        <f>H4*E4</f>
        <v>0</v>
      </c>
      <c r="L4" s="179">
        <f>I3/10</f>
        <v>0</v>
      </c>
    </row>
    <row r="5" spans="1:12" ht="30">
      <c r="A5" s="168" t="s">
        <v>275</v>
      </c>
      <c r="B5" s="169" t="s">
        <v>274</v>
      </c>
      <c r="C5" s="170" t="s">
        <v>282</v>
      </c>
      <c r="D5" s="171" t="s">
        <v>271</v>
      </c>
      <c r="E5" s="171">
        <f>(0.25*22)*12</f>
        <v>66</v>
      </c>
      <c r="F5" s="172"/>
      <c r="G5" s="172"/>
      <c r="H5" s="180"/>
      <c r="I5" s="181">
        <f>H5*E5</f>
        <v>0</v>
      </c>
    </row>
    <row r="6" spans="1:12" ht="45">
      <c r="A6" s="168" t="s">
        <v>276</v>
      </c>
      <c r="B6" s="169" t="s">
        <v>277</v>
      </c>
      <c r="C6" s="170" t="s">
        <v>281</v>
      </c>
      <c r="D6" s="171" t="s">
        <v>271</v>
      </c>
      <c r="E6" s="171">
        <f>(1.25*20)*12</f>
        <v>300</v>
      </c>
      <c r="F6" s="172"/>
      <c r="G6" s="172"/>
      <c r="H6" s="180"/>
      <c r="I6" s="181">
        <f>H6*E6</f>
        <v>0</v>
      </c>
    </row>
    <row r="7" spans="1:12" ht="45.75" thickBot="1">
      <c r="A7" s="173" t="s">
        <v>278</v>
      </c>
      <c r="B7" s="174" t="s">
        <v>277</v>
      </c>
      <c r="C7" s="175" t="s">
        <v>283</v>
      </c>
      <c r="D7" s="176" t="s">
        <v>271</v>
      </c>
      <c r="E7" s="176">
        <f>(0.25*20)*12</f>
        <v>60</v>
      </c>
      <c r="F7" s="177"/>
      <c r="G7" s="177"/>
      <c r="H7" s="182"/>
      <c r="I7" s="183">
        <f>H7*E7</f>
        <v>0</v>
      </c>
    </row>
    <row r="10" spans="1:12">
      <c r="I10" s="179"/>
    </row>
    <row r="13" spans="1:12">
      <c r="I13" s="179"/>
    </row>
  </sheetData>
  <mergeCells count="6">
    <mergeCell ref="F1:I1"/>
    <mergeCell ref="A1:A2"/>
    <mergeCell ref="B1:B2"/>
    <mergeCell ref="C1:C2"/>
    <mergeCell ref="D1:D2"/>
    <mergeCell ref="E1:E2"/>
  </mergeCells>
  <pageMargins left="0.51181102362204722" right="0.51181102362204722" top="0.98425196850393704" bottom="0.78740157480314965" header="0.31496062992125984" footer="0.31496062992125984"/>
  <pageSetup paperSize="9" scale="85" fitToHeight="0" orientation="landscape" r:id="rId1"/>
  <headerFooter>
    <oddHeader>&amp;L&amp;G&amp;C&amp;"-,Negrito"&amp;14PE ILHA ANCHIETA
RESTAURAÇÃO DAS RUINAS&amp;RREFERENCIAL SICRO
VERSÃO 186
VIGÊNCIA A PARTIR DE 07/2022</oddHeader>
    <oddFooter>&amp;CAv. Prof. Frederico Hermann Júnior, 345 - Prédio 12, 1° andar - Pinheiros - 05.459-010 São Paulo
(11) 2997-5000             www. fflorestal.sp.gov.br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topLeftCell="A7" workbookViewId="0">
      <selection activeCell="C29" sqref="C29"/>
    </sheetView>
  </sheetViews>
  <sheetFormatPr defaultColWidth="9" defaultRowHeight="12.75"/>
  <cols>
    <col min="1" max="1" width="15.85546875" style="69" customWidth="1"/>
    <col min="2" max="2" width="61.85546875" style="69" customWidth="1"/>
    <col min="3" max="3" width="16.85546875" style="69" customWidth="1"/>
    <col min="4" max="256" width="9" style="69"/>
    <col min="257" max="257" width="15.85546875" style="69" customWidth="1"/>
    <col min="258" max="258" width="61.85546875" style="69" customWidth="1"/>
    <col min="259" max="259" width="16.85546875" style="69" customWidth="1"/>
    <col min="260" max="512" width="9" style="69"/>
    <col min="513" max="513" width="15.85546875" style="69" customWidth="1"/>
    <col min="514" max="514" width="61.85546875" style="69" customWidth="1"/>
    <col min="515" max="515" width="16.85546875" style="69" customWidth="1"/>
    <col min="516" max="768" width="9" style="69"/>
    <col min="769" max="769" width="15.85546875" style="69" customWidth="1"/>
    <col min="770" max="770" width="61.85546875" style="69" customWidth="1"/>
    <col min="771" max="771" width="16.85546875" style="69" customWidth="1"/>
    <col min="772" max="1024" width="9" style="69"/>
    <col min="1025" max="1025" width="15.85546875" style="69" customWidth="1"/>
    <col min="1026" max="1026" width="61.85546875" style="69" customWidth="1"/>
    <col min="1027" max="1027" width="16.85546875" style="69" customWidth="1"/>
    <col min="1028" max="1280" width="9" style="69"/>
    <col min="1281" max="1281" width="15.85546875" style="69" customWidth="1"/>
    <col min="1282" max="1282" width="61.85546875" style="69" customWidth="1"/>
    <col min="1283" max="1283" width="16.85546875" style="69" customWidth="1"/>
    <col min="1284" max="1536" width="9" style="69"/>
    <col min="1537" max="1537" width="15.85546875" style="69" customWidth="1"/>
    <col min="1538" max="1538" width="61.85546875" style="69" customWidth="1"/>
    <col min="1539" max="1539" width="16.85546875" style="69" customWidth="1"/>
    <col min="1540" max="1792" width="9" style="69"/>
    <col min="1793" max="1793" width="15.85546875" style="69" customWidth="1"/>
    <col min="1794" max="1794" width="61.85546875" style="69" customWidth="1"/>
    <col min="1795" max="1795" width="16.85546875" style="69" customWidth="1"/>
    <col min="1796" max="2048" width="9" style="69"/>
    <col min="2049" max="2049" width="15.85546875" style="69" customWidth="1"/>
    <col min="2050" max="2050" width="61.85546875" style="69" customWidth="1"/>
    <col min="2051" max="2051" width="16.85546875" style="69" customWidth="1"/>
    <col min="2052" max="2304" width="9" style="69"/>
    <col min="2305" max="2305" width="15.85546875" style="69" customWidth="1"/>
    <col min="2306" max="2306" width="61.85546875" style="69" customWidth="1"/>
    <col min="2307" max="2307" width="16.85546875" style="69" customWidth="1"/>
    <col min="2308" max="2560" width="9" style="69"/>
    <col min="2561" max="2561" width="15.85546875" style="69" customWidth="1"/>
    <col min="2562" max="2562" width="61.85546875" style="69" customWidth="1"/>
    <col min="2563" max="2563" width="16.85546875" style="69" customWidth="1"/>
    <col min="2564" max="2816" width="9" style="69"/>
    <col min="2817" max="2817" width="15.85546875" style="69" customWidth="1"/>
    <col min="2818" max="2818" width="61.85546875" style="69" customWidth="1"/>
    <col min="2819" max="2819" width="16.85546875" style="69" customWidth="1"/>
    <col min="2820" max="3072" width="9" style="69"/>
    <col min="3073" max="3073" width="15.85546875" style="69" customWidth="1"/>
    <col min="3074" max="3074" width="61.85546875" style="69" customWidth="1"/>
    <col min="3075" max="3075" width="16.85546875" style="69" customWidth="1"/>
    <col min="3076" max="3328" width="9" style="69"/>
    <col min="3329" max="3329" width="15.85546875" style="69" customWidth="1"/>
    <col min="3330" max="3330" width="61.85546875" style="69" customWidth="1"/>
    <col min="3331" max="3331" width="16.85546875" style="69" customWidth="1"/>
    <col min="3332" max="3584" width="9" style="69"/>
    <col min="3585" max="3585" width="15.85546875" style="69" customWidth="1"/>
    <col min="3586" max="3586" width="61.85546875" style="69" customWidth="1"/>
    <col min="3587" max="3587" width="16.85546875" style="69" customWidth="1"/>
    <col min="3588" max="3840" width="9" style="69"/>
    <col min="3841" max="3841" width="15.85546875" style="69" customWidth="1"/>
    <col min="3842" max="3842" width="61.85546875" style="69" customWidth="1"/>
    <col min="3843" max="3843" width="16.85546875" style="69" customWidth="1"/>
    <col min="3844" max="4096" width="9" style="69"/>
    <col min="4097" max="4097" width="15.85546875" style="69" customWidth="1"/>
    <col min="4098" max="4098" width="61.85546875" style="69" customWidth="1"/>
    <col min="4099" max="4099" width="16.85546875" style="69" customWidth="1"/>
    <col min="4100" max="4352" width="9" style="69"/>
    <col min="4353" max="4353" width="15.85546875" style="69" customWidth="1"/>
    <col min="4354" max="4354" width="61.85546875" style="69" customWidth="1"/>
    <col min="4355" max="4355" width="16.85546875" style="69" customWidth="1"/>
    <col min="4356" max="4608" width="9" style="69"/>
    <col min="4609" max="4609" width="15.85546875" style="69" customWidth="1"/>
    <col min="4610" max="4610" width="61.85546875" style="69" customWidth="1"/>
    <col min="4611" max="4611" width="16.85546875" style="69" customWidth="1"/>
    <col min="4612" max="4864" width="9" style="69"/>
    <col min="4865" max="4865" width="15.85546875" style="69" customWidth="1"/>
    <col min="4866" max="4866" width="61.85546875" style="69" customWidth="1"/>
    <col min="4867" max="4867" width="16.85546875" style="69" customWidth="1"/>
    <col min="4868" max="5120" width="9" style="69"/>
    <col min="5121" max="5121" width="15.85546875" style="69" customWidth="1"/>
    <col min="5122" max="5122" width="61.85546875" style="69" customWidth="1"/>
    <col min="5123" max="5123" width="16.85546875" style="69" customWidth="1"/>
    <col min="5124" max="5376" width="9" style="69"/>
    <col min="5377" max="5377" width="15.85546875" style="69" customWidth="1"/>
    <col min="5378" max="5378" width="61.85546875" style="69" customWidth="1"/>
    <col min="5379" max="5379" width="16.85546875" style="69" customWidth="1"/>
    <col min="5380" max="5632" width="9" style="69"/>
    <col min="5633" max="5633" width="15.85546875" style="69" customWidth="1"/>
    <col min="5634" max="5634" width="61.85546875" style="69" customWidth="1"/>
    <col min="5635" max="5635" width="16.85546875" style="69" customWidth="1"/>
    <col min="5636" max="5888" width="9" style="69"/>
    <col min="5889" max="5889" width="15.85546875" style="69" customWidth="1"/>
    <col min="5890" max="5890" width="61.85546875" style="69" customWidth="1"/>
    <col min="5891" max="5891" width="16.85546875" style="69" customWidth="1"/>
    <col min="5892" max="6144" width="9" style="69"/>
    <col min="6145" max="6145" width="15.85546875" style="69" customWidth="1"/>
    <col min="6146" max="6146" width="61.85546875" style="69" customWidth="1"/>
    <col min="6147" max="6147" width="16.85546875" style="69" customWidth="1"/>
    <col min="6148" max="6400" width="9" style="69"/>
    <col min="6401" max="6401" width="15.85546875" style="69" customWidth="1"/>
    <col min="6402" max="6402" width="61.85546875" style="69" customWidth="1"/>
    <col min="6403" max="6403" width="16.85546875" style="69" customWidth="1"/>
    <col min="6404" max="6656" width="9" style="69"/>
    <col min="6657" max="6657" width="15.85546875" style="69" customWidth="1"/>
    <col min="6658" max="6658" width="61.85546875" style="69" customWidth="1"/>
    <col min="6659" max="6659" width="16.85546875" style="69" customWidth="1"/>
    <col min="6660" max="6912" width="9" style="69"/>
    <col min="6913" max="6913" width="15.85546875" style="69" customWidth="1"/>
    <col min="6914" max="6914" width="61.85546875" style="69" customWidth="1"/>
    <col min="6915" max="6915" width="16.85546875" style="69" customWidth="1"/>
    <col min="6916" max="7168" width="9" style="69"/>
    <col min="7169" max="7169" width="15.85546875" style="69" customWidth="1"/>
    <col min="7170" max="7170" width="61.85546875" style="69" customWidth="1"/>
    <col min="7171" max="7171" width="16.85546875" style="69" customWidth="1"/>
    <col min="7172" max="7424" width="9" style="69"/>
    <col min="7425" max="7425" width="15.85546875" style="69" customWidth="1"/>
    <col min="7426" max="7426" width="61.85546875" style="69" customWidth="1"/>
    <col min="7427" max="7427" width="16.85546875" style="69" customWidth="1"/>
    <col min="7428" max="7680" width="9" style="69"/>
    <col min="7681" max="7681" width="15.85546875" style="69" customWidth="1"/>
    <col min="7682" max="7682" width="61.85546875" style="69" customWidth="1"/>
    <col min="7683" max="7683" width="16.85546875" style="69" customWidth="1"/>
    <col min="7684" max="7936" width="9" style="69"/>
    <col min="7937" max="7937" width="15.85546875" style="69" customWidth="1"/>
    <col min="7938" max="7938" width="61.85546875" style="69" customWidth="1"/>
    <col min="7939" max="7939" width="16.85546875" style="69" customWidth="1"/>
    <col min="7940" max="8192" width="9" style="69"/>
    <col min="8193" max="8193" width="15.85546875" style="69" customWidth="1"/>
    <col min="8194" max="8194" width="61.85546875" style="69" customWidth="1"/>
    <col min="8195" max="8195" width="16.85546875" style="69" customWidth="1"/>
    <col min="8196" max="8448" width="9" style="69"/>
    <col min="8449" max="8449" width="15.85546875" style="69" customWidth="1"/>
    <col min="8450" max="8450" width="61.85546875" style="69" customWidth="1"/>
    <col min="8451" max="8451" width="16.85546875" style="69" customWidth="1"/>
    <col min="8452" max="8704" width="9" style="69"/>
    <col min="8705" max="8705" width="15.85546875" style="69" customWidth="1"/>
    <col min="8706" max="8706" width="61.85546875" style="69" customWidth="1"/>
    <col min="8707" max="8707" width="16.85546875" style="69" customWidth="1"/>
    <col min="8708" max="8960" width="9" style="69"/>
    <col min="8961" max="8961" width="15.85546875" style="69" customWidth="1"/>
    <col min="8962" max="8962" width="61.85546875" style="69" customWidth="1"/>
    <col min="8963" max="8963" width="16.85546875" style="69" customWidth="1"/>
    <col min="8964" max="9216" width="9" style="69"/>
    <col min="9217" max="9217" width="15.85546875" style="69" customWidth="1"/>
    <col min="9218" max="9218" width="61.85546875" style="69" customWidth="1"/>
    <col min="9219" max="9219" width="16.85546875" style="69" customWidth="1"/>
    <col min="9220" max="9472" width="9" style="69"/>
    <col min="9473" max="9473" width="15.85546875" style="69" customWidth="1"/>
    <col min="9474" max="9474" width="61.85546875" style="69" customWidth="1"/>
    <col min="9475" max="9475" width="16.85546875" style="69" customWidth="1"/>
    <col min="9476" max="9728" width="9" style="69"/>
    <col min="9729" max="9729" width="15.85546875" style="69" customWidth="1"/>
    <col min="9730" max="9730" width="61.85546875" style="69" customWidth="1"/>
    <col min="9731" max="9731" width="16.85546875" style="69" customWidth="1"/>
    <col min="9732" max="9984" width="9" style="69"/>
    <col min="9985" max="9985" width="15.85546875" style="69" customWidth="1"/>
    <col min="9986" max="9986" width="61.85546875" style="69" customWidth="1"/>
    <col min="9987" max="9987" width="16.85546875" style="69" customWidth="1"/>
    <col min="9988" max="10240" width="9" style="69"/>
    <col min="10241" max="10241" width="15.85546875" style="69" customWidth="1"/>
    <col min="10242" max="10242" width="61.85546875" style="69" customWidth="1"/>
    <col min="10243" max="10243" width="16.85546875" style="69" customWidth="1"/>
    <col min="10244" max="10496" width="9" style="69"/>
    <col min="10497" max="10497" width="15.85546875" style="69" customWidth="1"/>
    <col min="10498" max="10498" width="61.85546875" style="69" customWidth="1"/>
    <col min="10499" max="10499" width="16.85546875" style="69" customWidth="1"/>
    <col min="10500" max="10752" width="9" style="69"/>
    <col min="10753" max="10753" width="15.85546875" style="69" customWidth="1"/>
    <col min="10754" max="10754" width="61.85546875" style="69" customWidth="1"/>
    <col min="10755" max="10755" width="16.85546875" style="69" customWidth="1"/>
    <col min="10756" max="11008" width="9" style="69"/>
    <col min="11009" max="11009" width="15.85546875" style="69" customWidth="1"/>
    <col min="11010" max="11010" width="61.85546875" style="69" customWidth="1"/>
    <col min="11011" max="11011" width="16.85546875" style="69" customWidth="1"/>
    <col min="11012" max="11264" width="9" style="69"/>
    <col min="11265" max="11265" width="15.85546875" style="69" customWidth="1"/>
    <col min="11266" max="11266" width="61.85546875" style="69" customWidth="1"/>
    <col min="11267" max="11267" width="16.85546875" style="69" customWidth="1"/>
    <col min="11268" max="11520" width="9" style="69"/>
    <col min="11521" max="11521" width="15.85546875" style="69" customWidth="1"/>
    <col min="11522" max="11522" width="61.85546875" style="69" customWidth="1"/>
    <col min="11523" max="11523" width="16.85546875" style="69" customWidth="1"/>
    <col min="11524" max="11776" width="9" style="69"/>
    <col min="11777" max="11777" width="15.85546875" style="69" customWidth="1"/>
    <col min="11778" max="11778" width="61.85546875" style="69" customWidth="1"/>
    <col min="11779" max="11779" width="16.85546875" style="69" customWidth="1"/>
    <col min="11780" max="12032" width="9" style="69"/>
    <col min="12033" max="12033" width="15.85546875" style="69" customWidth="1"/>
    <col min="12034" max="12034" width="61.85546875" style="69" customWidth="1"/>
    <col min="12035" max="12035" width="16.85546875" style="69" customWidth="1"/>
    <col min="12036" max="12288" width="9" style="69"/>
    <col min="12289" max="12289" width="15.85546875" style="69" customWidth="1"/>
    <col min="12290" max="12290" width="61.85546875" style="69" customWidth="1"/>
    <col min="12291" max="12291" width="16.85546875" style="69" customWidth="1"/>
    <col min="12292" max="12544" width="9" style="69"/>
    <col min="12545" max="12545" width="15.85546875" style="69" customWidth="1"/>
    <col min="12546" max="12546" width="61.85546875" style="69" customWidth="1"/>
    <col min="12547" max="12547" width="16.85546875" style="69" customWidth="1"/>
    <col min="12548" max="12800" width="9" style="69"/>
    <col min="12801" max="12801" width="15.85546875" style="69" customWidth="1"/>
    <col min="12802" max="12802" width="61.85546875" style="69" customWidth="1"/>
    <col min="12803" max="12803" width="16.85546875" style="69" customWidth="1"/>
    <col min="12804" max="13056" width="9" style="69"/>
    <col min="13057" max="13057" width="15.85546875" style="69" customWidth="1"/>
    <col min="13058" max="13058" width="61.85546875" style="69" customWidth="1"/>
    <col min="13059" max="13059" width="16.85546875" style="69" customWidth="1"/>
    <col min="13060" max="13312" width="9" style="69"/>
    <col min="13313" max="13313" width="15.85546875" style="69" customWidth="1"/>
    <col min="13314" max="13314" width="61.85546875" style="69" customWidth="1"/>
    <col min="13315" max="13315" width="16.85546875" style="69" customWidth="1"/>
    <col min="13316" max="13568" width="9" style="69"/>
    <col min="13569" max="13569" width="15.85546875" style="69" customWidth="1"/>
    <col min="13570" max="13570" width="61.85546875" style="69" customWidth="1"/>
    <col min="13571" max="13571" width="16.85546875" style="69" customWidth="1"/>
    <col min="13572" max="13824" width="9" style="69"/>
    <col min="13825" max="13825" width="15.85546875" style="69" customWidth="1"/>
    <col min="13826" max="13826" width="61.85546875" style="69" customWidth="1"/>
    <col min="13827" max="13827" width="16.85546875" style="69" customWidth="1"/>
    <col min="13828" max="14080" width="9" style="69"/>
    <col min="14081" max="14081" width="15.85546875" style="69" customWidth="1"/>
    <col min="14082" max="14082" width="61.85546875" style="69" customWidth="1"/>
    <col min="14083" max="14083" width="16.85546875" style="69" customWidth="1"/>
    <col min="14084" max="14336" width="9" style="69"/>
    <col min="14337" max="14337" width="15.85546875" style="69" customWidth="1"/>
    <col min="14338" max="14338" width="61.85546875" style="69" customWidth="1"/>
    <col min="14339" max="14339" width="16.85546875" style="69" customWidth="1"/>
    <col min="14340" max="14592" width="9" style="69"/>
    <col min="14593" max="14593" width="15.85546875" style="69" customWidth="1"/>
    <col min="14594" max="14594" width="61.85546875" style="69" customWidth="1"/>
    <col min="14595" max="14595" width="16.85546875" style="69" customWidth="1"/>
    <col min="14596" max="14848" width="9" style="69"/>
    <col min="14849" max="14849" width="15.85546875" style="69" customWidth="1"/>
    <col min="14850" max="14850" width="61.85546875" style="69" customWidth="1"/>
    <col min="14851" max="14851" width="16.85546875" style="69" customWidth="1"/>
    <col min="14852" max="15104" width="9" style="69"/>
    <col min="15105" max="15105" width="15.85546875" style="69" customWidth="1"/>
    <col min="15106" max="15106" width="61.85546875" style="69" customWidth="1"/>
    <col min="15107" max="15107" width="16.85546875" style="69" customWidth="1"/>
    <col min="15108" max="15360" width="9" style="69"/>
    <col min="15361" max="15361" width="15.85546875" style="69" customWidth="1"/>
    <col min="15362" max="15362" width="61.85546875" style="69" customWidth="1"/>
    <col min="15363" max="15363" width="16.85546875" style="69" customWidth="1"/>
    <col min="15364" max="15616" width="9" style="69"/>
    <col min="15617" max="15617" width="15.85546875" style="69" customWidth="1"/>
    <col min="15618" max="15618" width="61.85546875" style="69" customWidth="1"/>
    <col min="15619" max="15619" width="16.85546875" style="69" customWidth="1"/>
    <col min="15620" max="15872" width="9" style="69"/>
    <col min="15873" max="15873" width="15.85546875" style="69" customWidth="1"/>
    <col min="15874" max="15874" width="61.85546875" style="69" customWidth="1"/>
    <col min="15875" max="15875" width="16.85546875" style="69" customWidth="1"/>
    <col min="15876" max="16128" width="9" style="69"/>
    <col min="16129" max="16129" width="15.85546875" style="69" customWidth="1"/>
    <col min="16130" max="16130" width="61.85546875" style="69" customWidth="1"/>
    <col min="16131" max="16131" width="16.85546875" style="69" customWidth="1"/>
    <col min="16132" max="16384" width="9" style="69"/>
  </cols>
  <sheetData>
    <row r="1" spans="1:5" ht="69.75" customHeight="1">
      <c r="A1" s="66"/>
      <c r="B1" s="67"/>
      <c r="C1" s="68"/>
    </row>
    <row r="2" spans="1:5" ht="53.25" customHeight="1">
      <c r="A2" s="328" t="s">
        <v>136</v>
      </c>
      <c r="B2" s="329"/>
      <c r="C2" s="330"/>
    </row>
    <row r="3" spans="1:5" ht="10.5" customHeight="1">
      <c r="A3" s="70"/>
      <c r="B3" s="71"/>
      <c r="C3" s="72"/>
      <c r="D3" s="73"/>
      <c r="E3" s="74"/>
    </row>
    <row r="4" spans="1:5" ht="15">
      <c r="A4" s="331"/>
      <c r="B4" s="332"/>
      <c r="C4" s="333"/>
      <c r="D4" s="73"/>
      <c r="E4" s="74"/>
    </row>
    <row r="5" spans="1:5" ht="15">
      <c r="A5" s="75"/>
      <c r="B5" s="76"/>
      <c r="C5" s="77"/>
      <c r="D5" s="78"/>
      <c r="E5" s="74"/>
    </row>
    <row r="6" spans="1:5" ht="15">
      <c r="A6" s="190" t="s">
        <v>137</v>
      </c>
      <c r="B6" s="191" t="s">
        <v>138</v>
      </c>
      <c r="C6" s="192" t="s">
        <v>22</v>
      </c>
      <c r="D6" s="73"/>
      <c r="E6" s="74"/>
    </row>
    <row r="7" spans="1:5" ht="15">
      <c r="A7" s="79" t="s">
        <v>139</v>
      </c>
      <c r="B7" s="80" t="s">
        <v>140</v>
      </c>
      <c r="C7" s="81"/>
      <c r="D7" s="73"/>
      <c r="E7" s="74"/>
    </row>
    <row r="8" spans="1:5" ht="14.25">
      <c r="A8" s="82" t="s">
        <v>141</v>
      </c>
      <c r="B8" s="83" t="s">
        <v>21</v>
      </c>
      <c r="C8" s="84">
        <v>0.03</v>
      </c>
      <c r="D8" s="73"/>
      <c r="E8" s="74"/>
    </row>
    <row r="9" spans="1:5" ht="15">
      <c r="A9" s="82"/>
      <c r="B9" s="85" t="s">
        <v>142</v>
      </c>
      <c r="C9" s="86">
        <f>C8</f>
        <v>0.03</v>
      </c>
      <c r="D9" s="73"/>
      <c r="E9" s="74"/>
    </row>
    <row r="10" spans="1:5" ht="14.25">
      <c r="A10" s="82"/>
      <c r="B10" s="83"/>
      <c r="C10" s="87"/>
      <c r="D10" s="73"/>
      <c r="E10" s="74"/>
    </row>
    <row r="11" spans="1:5" ht="15">
      <c r="A11" s="79" t="s">
        <v>143</v>
      </c>
      <c r="B11" s="80" t="s">
        <v>144</v>
      </c>
      <c r="C11" s="81"/>
      <c r="D11" s="73"/>
      <c r="E11" s="74"/>
    </row>
    <row r="12" spans="1:5" ht="14.25">
      <c r="A12" s="82" t="s">
        <v>145</v>
      </c>
      <c r="B12" s="83" t="s">
        <v>146</v>
      </c>
      <c r="C12" s="84">
        <v>5.8999999999999999E-3</v>
      </c>
      <c r="D12" s="73"/>
      <c r="E12" s="88"/>
    </row>
    <row r="13" spans="1:5" ht="14.25">
      <c r="A13" s="82" t="s">
        <v>147</v>
      </c>
      <c r="B13" s="83" t="s">
        <v>148</v>
      </c>
      <c r="C13" s="84">
        <v>8.0000000000000002E-3</v>
      </c>
      <c r="D13" s="73"/>
      <c r="E13" s="74"/>
    </row>
    <row r="14" spans="1:5" ht="14.25">
      <c r="A14" s="82" t="s">
        <v>149</v>
      </c>
      <c r="B14" s="83" t="s">
        <v>150</v>
      </c>
      <c r="C14" s="84">
        <v>9.7000000000000003E-3</v>
      </c>
      <c r="D14" s="73"/>
      <c r="E14" s="74"/>
    </row>
    <row r="15" spans="1:5" ht="14.25">
      <c r="A15" s="82"/>
      <c r="B15" s="83" t="s">
        <v>151</v>
      </c>
      <c r="C15" s="84">
        <v>8.0000000000000002E-3</v>
      </c>
      <c r="D15" s="73"/>
      <c r="E15" s="74"/>
    </row>
    <row r="16" spans="1:5" ht="15">
      <c r="A16" s="82"/>
      <c r="B16" s="85" t="s">
        <v>152</v>
      </c>
      <c r="C16" s="81">
        <f>SUM(C12:C15)</f>
        <v>3.1600000000000003E-2</v>
      </c>
      <c r="D16" s="73"/>
      <c r="E16" s="74"/>
    </row>
    <row r="17" spans="1:5" ht="14.25">
      <c r="A17" s="82"/>
      <c r="B17" s="83"/>
      <c r="C17" s="87"/>
      <c r="D17" s="73"/>
      <c r="E17" s="74"/>
    </row>
    <row r="18" spans="1:5" ht="15">
      <c r="A18" s="79" t="s">
        <v>153</v>
      </c>
      <c r="B18" s="80" t="s">
        <v>154</v>
      </c>
      <c r="C18" s="81"/>
      <c r="D18" s="73"/>
      <c r="E18" s="74"/>
    </row>
    <row r="19" spans="1:5" ht="14.25">
      <c r="A19" s="82" t="s">
        <v>155</v>
      </c>
      <c r="B19" s="83" t="s">
        <v>156</v>
      </c>
      <c r="C19" s="87">
        <v>6.4999999999999997E-3</v>
      </c>
      <c r="D19" s="73"/>
      <c r="E19" s="74"/>
    </row>
    <row r="20" spans="1:5" ht="14.25">
      <c r="A20" s="82" t="s">
        <v>157</v>
      </c>
      <c r="B20" s="83" t="s">
        <v>158</v>
      </c>
      <c r="C20" s="87">
        <v>0.03</v>
      </c>
      <c r="D20" s="73"/>
      <c r="E20" s="74"/>
    </row>
    <row r="21" spans="1:5" ht="14.25">
      <c r="A21" s="82" t="s">
        <v>159</v>
      </c>
      <c r="B21" s="83" t="s">
        <v>160</v>
      </c>
      <c r="C21" s="87">
        <v>0.03</v>
      </c>
      <c r="D21" s="73"/>
      <c r="E21" s="74"/>
    </row>
    <row r="22" spans="1:5" ht="14.25">
      <c r="A22" s="82" t="s">
        <v>161</v>
      </c>
      <c r="B22" s="83" t="s">
        <v>162</v>
      </c>
      <c r="C22" s="87">
        <v>0.02</v>
      </c>
      <c r="D22" s="89"/>
      <c r="E22" s="90"/>
    </row>
    <row r="23" spans="1:5" ht="15">
      <c r="A23" s="82"/>
      <c r="B23" s="85" t="s">
        <v>163</v>
      </c>
      <c r="C23" s="81">
        <f>SUM(C19:C22)</f>
        <v>8.6500000000000007E-2</v>
      </c>
      <c r="D23" s="89"/>
      <c r="E23" s="90"/>
    </row>
    <row r="24" spans="1:5" ht="14.25">
      <c r="A24" s="82"/>
      <c r="B24" s="83"/>
      <c r="C24" s="87"/>
      <c r="D24" s="89"/>
      <c r="E24" s="90"/>
    </row>
    <row r="25" spans="1:5" ht="15">
      <c r="A25" s="79" t="s">
        <v>164</v>
      </c>
      <c r="B25" s="80" t="s">
        <v>165</v>
      </c>
      <c r="C25" s="87">
        <v>5.1700000000000003E-2</v>
      </c>
    </row>
    <row r="26" spans="1:5" ht="14.25">
      <c r="A26" s="82" t="s">
        <v>166</v>
      </c>
      <c r="B26" s="91"/>
      <c r="C26" s="87"/>
    </row>
    <row r="27" spans="1:5" ht="15.75" thickBot="1">
      <c r="A27" s="92"/>
      <c r="B27" s="93" t="s">
        <v>167</v>
      </c>
      <c r="C27" s="94">
        <f>C25</f>
        <v>5.1700000000000003E-2</v>
      </c>
    </row>
    <row r="28" spans="1:5" ht="14.25">
      <c r="A28" s="95"/>
      <c r="B28" s="96"/>
      <c r="C28" s="97"/>
    </row>
    <row r="29" spans="1:5" ht="15">
      <c r="A29" s="95"/>
      <c r="B29" s="193" t="s">
        <v>168</v>
      </c>
      <c r="C29" s="194">
        <f>(((1+C8+C13+C14+C15)*(1+C12)*(1+C25))/(1-C23))-1</f>
        <v>0.22258384255172436</v>
      </c>
    </row>
    <row r="30" spans="1:5" ht="15">
      <c r="A30" s="95"/>
      <c r="B30" s="98"/>
      <c r="C30" s="99"/>
    </row>
    <row r="31" spans="1:5" ht="15">
      <c r="A31" s="95" t="s">
        <v>169</v>
      </c>
      <c r="B31" s="98" t="s">
        <v>170</v>
      </c>
      <c r="C31" s="99"/>
    </row>
    <row r="32" spans="1:5" ht="15">
      <c r="A32" s="334" t="s">
        <v>171</v>
      </c>
      <c r="B32" s="335"/>
      <c r="C32" s="336"/>
    </row>
    <row r="33" spans="1:3" ht="13.5" thickBot="1">
      <c r="A33" s="337" t="s">
        <v>172</v>
      </c>
      <c r="B33" s="338"/>
      <c r="C33" s="100"/>
    </row>
  </sheetData>
  <mergeCells count="4">
    <mergeCell ref="A2:C2"/>
    <mergeCell ref="A4:C4"/>
    <mergeCell ref="A32:C32"/>
    <mergeCell ref="A33:B33"/>
  </mergeCells>
  <pageMargins left="0.74803149606299213" right="0.74803149606299213" top="0.98425196850393704" bottom="0.98425196850393704" header="0.51181102362204722" footer="0.51181102362204722"/>
  <pageSetup paperSize="9" scale="85" orientation="portrait" horizontalDpi="4294967293" verticalDpi="4294967293" r:id="rId1"/>
  <headerFooter>
    <oddHeader xml:space="preserve">&amp;CPE ILHA ANCHIETA
RESTAURAÇÃO DAS RUINAS
PERCENTUAL DE BDI
</oddHeader>
    <oddFooter>&amp;CAv. Prof. Frederico Hermann Júnior, 345 - Prédio 12, 1° andar - Pinheiros - 05.459-010 São Paulo
(11) 2997-5000             www. fflorestal.sp.gov.br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106"/>
  <sheetViews>
    <sheetView zoomScaleNormal="100" workbookViewId="0">
      <selection activeCell="K12" sqref="K12"/>
    </sheetView>
  </sheetViews>
  <sheetFormatPr defaultColWidth="9" defaultRowHeight="15"/>
  <cols>
    <col min="1" max="1" width="13.42578125" customWidth="1"/>
    <col min="2" max="2" width="14.140625" customWidth="1"/>
    <col min="3" max="3" width="19.42578125" customWidth="1"/>
    <col min="4" max="4" width="86.7109375" customWidth="1"/>
    <col min="5" max="5" width="9.140625" style="149" customWidth="1"/>
    <col min="6" max="6" width="12.42578125" customWidth="1"/>
    <col min="7" max="7" width="14.85546875" customWidth="1"/>
    <col min="8" max="8" width="14" customWidth="1"/>
    <col min="9" max="9" width="14.7109375" customWidth="1"/>
    <col min="10" max="10" width="14.28515625" customWidth="1"/>
    <col min="11" max="11" width="19.140625" customWidth="1"/>
    <col min="12" max="12" width="16.7109375" customWidth="1"/>
    <col min="13" max="13" width="14.7109375" customWidth="1"/>
    <col min="14" max="14" width="50.85546875" customWidth="1"/>
  </cols>
  <sheetData>
    <row r="1" spans="1:24" s="65" customFormat="1" ht="98.1" customHeight="1">
      <c r="A1" s="339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1"/>
      <c r="M1"/>
      <c r="N1"/>
      <c r="O1"/>
      <c r="P1"/>
      <c r="Q1"/>
      <c r="R1"/>
      <c r="S1"/>
      <c r="T1"/>
      <c r="U1"/>
      <c r="V1"/>
      <c r="W1"/>
      <c r="X1"/>
    </row>
    <row r="2" spans="1:24" ht="20.25">
      <c r="A2" s="342" t="s">
        <v>242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4"/>
    </row>
    <row r="3" spans="1:24" ht="22.5" customHeight="1">
      <c r="A3" s="345" t="s">
        <v>243</v>
      </c>
      <c r="B3" s="347" t="s">
        <v>244</v>
      </c>
      <c r="C3" s="348"/>
      <c r="D3" s="348"/>
      <c r="E3" s="348"/>
      <c r="F3" s="348"/>
      <c r="G3" s="349"/>
      <c r="H3" s="353"/>
      <c r="I3" s="354"/>
      <c r="J3" s="118"/>
      <c r="K3" s="355" t="s">
        <v>133</v>
      </c>
      <c r="L3" s="357">
        <v>44475</v>
      </c>
    </row>
    <row r="4" spans="1:24" ht="22.5" customHeight="1">
      <c r="A4" s="346"/>
      <c r="B4" s="350"/>
      <c r="C4" s="351"/>
      <c r="D4" s="351"/>
      <c r="E4" s="351"/>
      <c r="F4" s="351"/>
      <c r="G4" s="352"/>
      <c r="H4" s="359"/>
      <c r="I4" s="359"/>
      <c r="J4" s="120"/>
      <c r="K4" s="356"/>
      <c r="L4" s="358"/>
    </row>
    <row r="5" spans="1:24" ht="22.5" customHeight="1">
      <c r="A5" s="121" t="s">
        <v>245</v>
      </c>
      <c r="B5" s="373" t="s">
        <v>246</v>
      </c>
      <c r="C5" s="373"/>
      <c r="D5" s="373"/>
      <c r="E5" s="359"/>
      <c r="F5" s="373"/>
      <c r="G5" s="373"/>
      <c r="H5" s="353"/>
      <c r="I5" s="354"/>
      <c r="J5" s="118"/>
      <c r="K5" s="122" t="s">
        <v>247</v>
      </c>
      <c r="L5" s="123">
        <f>'BDI '!C29</f>
        <v>0.22258384255172436</v>
      </c>
    </row>
    <row r="6" spans="1:24" ht="25.5">
      <c r="A6" s="121" t="s">
        <v>248</v>
      </c>
      <c r="B6" s="373" t="s">
        <v>249</v>
      </c>
      <c r="C6" s="373"/>
      <c r="D6" s="373"/>
      <c r="E6" s="373"/>
      <c r="F6" s="373"/>
      <c r="G6" s="373"/>
      <c r="H6" s="353" t="s">
        <v>250</v>
      </c>
      <c r="I6" s="354"/>
      <c r="J6" s="124">
        <v>12</v>
      </c>
      <c r="K6" s="122" t="s">
        <v>251</v>
      </c>
      <c r="L6" s="123">
        <v>0.15</v>
      </c>
    </row>
    <row r="7" spans="1:24" ht="20.100000000000001" customHeight="1">
      <c r="A7" s="374"/>
      <c r="B7" s="375"/>
      <c r="C7" s="375"/>
      <c r="D7" s="375"/>
      <c r="E7" s="375"/>
      <c r="F7" s="375"/>
      <c r="G7" s="375"/>
      <c r="H7" s="353" t="s">
        <v>252</v>
      </c>
      <c r="I7" s="354"/>
      <c r="J7" s="119"/>
      <c r="K7" s="122"/>
      <c r="L7" s="125"/>
    </row>
    <row r="8" spans="1:24" ht="63.75">
      <c r="A8" s="184" t="s">
        <v>95</v>
      </c>
      <c r="B8" s="185"/>
      <c r="C8" s="186"/>
      <c r="D8" s="186" t="s">
        <v>96</v>
      </c>
      <c r="E8" s="186" t="s">
        <v>253</v>
      </c>
      <c r="F8" s="187" t="s">
        <v>254</v>
      </c>
      <c r="G8" s="188" t="s">
        <v>255</v>
      </c>
      <c r="H8" s="188" t="s">
        <v>256</v>
      </c>
      <c r="I8" s="188" t="s">
        <v>257</v>
      </c>
      <c r="J8" s="188" t="s">
        <v>258</v>
      </c>
      <c r="K8" s="188" t="s">
        <v>259</v>
      </c>
      <c r="L8" s="189" t="s">
        <v>260</v>
      </c>
    </row>
    <row r="9" spans="1:24">
      <c r="A9" s="376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8"/>
    </row>
    <row r="10" spans="1:24" ht="15" customHeight="1">
      <c r="A10" s="126" t="s">
        <v>261</v>
      </c>
      <c r="B10" s="373" t="s">
        <v>262</v>
      </c>
      <c r="C10" s="373"/>
      <c r="D10" s="373"/>
      <c r="E10" s="119"/>
      <c r="F10" s="127"/>
      <c r="G10" s="122"/>
      <c r="H10" s="122"/>
      <c r="I10" s="122"/>
      <c r="J10" s="122"/>
      <c r="K10" s="128"/>
      <c r="L10" s="129"/>
    </row>
    <row r="11" spans="1:24" ht="45">
      <c r="A11" s="130" t="s">
        <v>263</v>
      </c>
      <c r="B11" s="131" t="s">
        <v>264</v>
      </c>
      <c r="C11" s="131" t="s">
        <v>265</v>
      </c>
      <c r="D11" s="132" t="s">
        <v>266</v>
      </c>
      <c r="E11" s="130" t="s">
        <v>267</v>
      </c>
      <c r="F11" s="130" t="s">
        <v>267</v>
      </c>
      <c r="G11" s="130" t="s">
        <v>267</v>
      </c>
      <c r="H11" s="130" t="s">
        <v>267</v>
      </c>
      <c r="I11" s="130" t="s">
        <v>267</v>
      </c>
      <c r="J11" s="130" t="s">
        <v>267</v>
      </c>
      <c r="K11" s="133">
        <f>PLANILHA!J58</f>
        <v>0</v>
      </c>
      <c r="L11" s="134">
        <v>8.8700000000000001E-2</v>
      </c>
    </row>
    <row r="12" spans="1:24">
      <c r="A12" s="135"/>
      <c r="B12" s="136"/>
      <c r="C12" s="137"/>
      <c r="D12" s="138" t="s">
        <v>268</v>
      </c>
      <c r="E12" s="119"/>
      <c r="F12" s="139"/>
      <c r="G12" s="140"/>
      <c r="H12" s="140"/>
      <c r="I12" s="140"/>
      <c r="J12" s="140"/>
      <c r="K12" s="140">
        <f>SUM(K11)</f>
        <v>0</v>
      </c>
      <c r="L12" s="141"/>
    </row>
    <row r="13" spans="1:24">
      <c r="A13" s="142" t="s">
        <v>134</v>
      </c>
      <c r="B13" s="143"/>
      <c r="C13" s="143"/>
      <c r="D13" s="144"/>
      <c r="E13" s="145"/>
      <c r="F13" s="144"/>
      <c r="G13" s="146"/>
      <c r="H13" s="146"/>
      <c r="I13" s="146"/>
      <c r="J13" s="147"/>
      <c r="K13" s="148"/>
      <c r="L13" s="141"/>
    </row>
    <row r="14" spans="1:24">
      <c r="A14" s="379"/>
      <c r="B14" s="380"/>
      <c r="C14" s="380"/>
      <c r="D14" s="380"/>
      <c r="E14" s="380"/>
      <c r="F14" s="380"/>
      <c r="G14" s="380"/>
      <c r="H14" s="380"/>
      <c r="I14" s="380"/>
      <c r="J14" s="380"/>
      <c r="K14" s="381"/>
      <c r="L14" s="129"/>
      <c r="O14" s="63"/>
    </row>
    <row r="15" spans="1:24" ht="15" customHeight="1">
      <c r="A15" s="382" t="s">
        <v>135</v>
      </c>
      <c r="B15" s="383"/>
      <c r="C15" s="383"/>
      <c r="D15" s="383"/>
      <c r="E15" s="384" t="s">
        <v>269</v>
      </c>
      <c r="F15" s="385"/>
      <c r="G15" s="385"/>
      <c r="H15" s="385"/>
      <c r="I15" s="385"/>
      <c r="J15" s="385"/>
      <c r="K15" s="385"/>
      <c r="L15" s="386"/>
      <c r="O15" s="63"/>
    </row>
    <row r="16" spans="1:24">
      <c r="A16" s="360"/>
      <c r="B16" s="361"/>
      <c r="C16" s="361"/>
      <c r="D16" s="361"/>
      <c r="E16" s="362"/>
      <c r="F16" s="363"/>
      <c r="G16" s="363"/>
      <c r="H16" s="363"/>
      <c r="I16" s="363"/>
      <c r="J16" s="363"/>
      <c r="K16" s="363"/>
      <c r="L16" s="364"/>
      <c r="O16" s="63"/>
    </row>
    <row r="17" spans="1:15">
      <c r="A17" s="360"/>
      <c r="B17" s="361"/>
      <c r="C17" s="361"/>
      <c r="D17" s="361"/>
      <c r="E17" s="365"/>
      <c r="F17" s="366"/>
      <c r="G17" s="366"/>
      <c r="H17" s="366"/>
      <c r="I17" s="366"/>
      <c r="J17" s="366"/>
      <c r="K17" s="366"/>
      <c r="L17" s="367"/>
      <c r="N17" s="63"/>
      <c r="O17" s="63"/>
    </row>
    <row r="18" spans="1:15" ht="15.75" thickBot="1">
      <c r="A18" s="371"/>
      <c r="B18" s="372"/>
      <c r="C18" s="372"/>
      <c r="D18" s="372"/>
      <c r="E18" s="368"/>
      <c r="F18" s="369"/>
      <c r="G18" s="369"/>
      <c r="H18" s="369"/>
      <c r="I18" s="369"/>
      <c r="J18" s="369"/>
      <c r="K18" s="369"/>
      <c r="L18" s="370"/>
      <c r="N18" s="63"/>
      <c r="O18" s="63"/>
    </row>
    <row r="19" spans="1:15">
      <c r="N19" s="63"/>
      <c r="O19" s="63"/>
    </row>
    <row r="25" spans="1:15">
      <c r="D25" s="150"/>
      <c r="N25" s="63"/>
    </row>
    <row r="26" spans="1:15">
      <c r="D26" s="150"/>
    </row>
    <row r="100" spans="15:15">
      <c r="O100" s="151"/>
    </row>
    <row r="101" spans="15:15">
      <c r="O101" s="151"/>
    </row>
    <row r="102" spans="15:15">
      <c r="O102" s="152">
        <v>69.931020000000004</v>
      </c>
    </row>
    <row r="103" spans="15:15">
      <c r="O103" s="152">
        <v>13.986204000000001</v>
      </c>
    </row>
    <row r="104" spans="15:15">
      <c r="O104" s="152">
        <v>69.930000000000007</v>
      </c>
    </row>
    <row r="105" spans="15:15">
      <c r="O105" s="152">
        <v>69.930000000000007</v>
      </c>
    </row>
    <row r="106" spans="15:15">
      <c r="O106" s="153">
        <v>69.930000000000007</v>
      </c>
    </row>
  </sheetData>
  <mergeCells count="23">
    <mergeCell ref="A16:D16"/>
    <mergeCell ref="E16:L18"/>
    <mergeCell ref="A17:D17"/>
    <mergeCell ref="A18:D18"/>
    <mergeCell ref="B5:G5"/>
    <mergeCell ref="H5:I5"/>
    <mergeCell ref="B6:G6"/>
    <mergeCell ref="H6:I6"/>
    <mergeCell ref="A7:G7"/>
    <mergeCell ref="H7:I7"/>
    <mergeCell ref="A9:L9"/>
    <mergeCell ref="B10:D10"/>
    <mergeCell ref="A14:K14"/>
    <mergeCell ref="A15:D15"/>
    <mergeCell ref="E15:L15"/>
    <mergeCell ref="A1:L1"/>
    <mergeCell ref="A2:L2"/>
    <mergeCell ref="A3:A4"/>
    <mergeCell ref="B3:G4"/>
    <mergeCell ref="H3:I3"/>
    <mergeCell ref="K3:K4"/>
    <mergeCell ref="L3:L4"/>
    <mergeCell ref="H4:I4"/>
  </mergeCells>
  <pageMargins left="0.74803149606299213" right="0.74803149606299213" top="0.98425196850393704" bottom="0.98425196850393704" header="0.51181102362204722" footer="0.51181102362204722"/>
  <pageSetup paperSize="9" scale="52" orientation="landscape" horizontalDpi="4294967293" verticalDpi="4294967293" r:id="rId1"/>
  <headerFooter>
    <oddHeader>&amp;CPE ILHA ANCHIETA
ADMINISTRAÇÃO DE OBRA</oddHeader>
    <oddFooter xml:space="preserve">&amp;CAv. Prof. Frederico Hermann Júnior, 345 - Prédio 12, 1° andar - Pinheiros - 05.459-010 São Paulo
(11) 2997-5000             www. fflorestal.sp.gov.br&amp;R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1"/>
  <sheetViews>
    <sheetView workbookViewId="0">
      <selection activeCell="M24" sqref="M24"/>
    </sheetView>
  </sheetViews>
  <sheetFormatPr defaultColWidth="9.140625" defaultRowHeight="15"/>
  <cols>
    <col min="1" max="1" width="10.140625" customWidth="1"/>
    <col min="2" max="2" width="28.42578125" customWidth="1"/>
    <col min="4" max="4" width="19.42578125" customWidth="1"/>
    <col min="5" max="5" width="23" customWidth="1"/>
    <col min="6" max="6" width="27.28515625" customWidth="1"/>
    <col min="7" max="7" width="20.42578125" customWidth="1"/>
  </cols>
  <sheetData>
    <row r="1" spans="1:7" ht="27" thickBot="1">
      <c r="A1" s="388" t="s">
        <v>173</v>
      </c>
      <c r="B1" s="389"/>
      <c r="C1" s="389"/>
      <c r="D1" s="389"/>
      <c r="E1" s="389"/>
      <c r="F1" s="389"/>
      <c r="G1" s="390"/>
    </row>
    <row r="2" spans="1:7" ht="15.75" thickBot="1">
      <c r="A2" s="391" t="s">
        <v>174</v>
      </c>
      <c r="B2" s="392"/>
      <c r="C2" s="392"/>
      <c r="D2" s="392"/>
      <c r="E2" s="392"/>
      <c r="F2" s="393"/>
      <c r="G2" s="394"/>
    </row>
    <row r="3" spans="1:7" ht="15.75" thickBot="1">
      <c r="A3" s="395"/>
      <c r="B3" s="396"/>
      <c r="C3" s="396"/>
      <c r="D3" s="396"/>
      <c r="E3" s="396"/>
      <c r="F3" s="396"/>
      <c r="G3" s="397"/>
    </row>
    <row r="4" spans="1:7" ht="18.75">
      <c r="A4" s="398" t="s">
        <v>175</v>
      </c>
      <c r="B4" s="399"/>
      <c r="C4" s="399"/>
      <c r="D4" s="399"/>
      <c r="E4" s="399"/>
      <c r="F4" s="399"/>
      <c r="G4" s="400"/>
    </row>
    <row r="5" spans="1:7" ht="15.75">
      <c r="A5" s="401" t="s">
        <v>95</v>
      </c>
      <c r="B5" s="403" t="s">
        <v>96</v>
      </c>
      <c r="C5" s="403"/>
      <c r="D5" s="405" t="s">
        <v>176</v>
      </c>
      <c r="E5" s="406"/>
      <c r="F5" s="405" t="s">
        <v>177</v>
      </c>
      <c r="G5" s="407"/>
    </row>
    <row r="6" spans="1:7" ht="16.5" thickBot="1">
      <c r="A6" s="402"/>
      <c r="B6" s="404"/>
      <c r="C6" s="404"/>
      <c r="D6" s="101" t="s">
        <v>178</v>
      </c>
      <c r="E6" s="101" t="s">
        <v>179</v>
      </c>
      <c r="F6" s="101" t="s">
        <v>178</v>
      </c>
      <c r="G6" s="102" t="s">
        <v>179</v>
      </c>
    </row>
    <row r="7" spans="1:7" ht="16.5" thickBot="1">
      <c r="A7" s="408" t="s">
        <v>180</v>
      </c>
      <c r="B7" s="409"/>
      <c r="C7" s="409"/>
      <c r="D7" s="409"/>
      <c r="E7" s="409"/>
      <c r="F7" s="409"/>
      <c r="G7" s="410"/>
    </row>
    <row r="8" spans="1:7" ht="15.75" thickTop="1">
      <c r="A8" s="103" t="s">
        <v>181</v>
      </c>
      <c r="B8" s="411" t="s">
        <v>182</v>
      </c>
      <c r="C8" s="411"/>
      <c r="D8" s="104">
        <v>0</v>
      </c>
      <c r="E8" s="104">
        <v>0</v>
      </c>
      <c r="F8" s="104">
        <v>0.2</v>
      </c>
      <c r="G8" s="105">
        <v>0.2</v>
      </c>
    </row>
    <row r="9" spans="1:7">
      <c r="A9" s="106" t="s">
        <v>183</v>
      </c>
      <c r="B9" s="387" t="s">
        <v>184</v>
      </c>
      <c r="C9" s="387"/>
      <c r="D9" s="107">
        <v>1.4999999999999999E-2</v>
      </c>
      <c r="E9" s="107">
        <v>1.4999999999999999E-2</v>
      </c>
      <c r="F9" s="107">
        <v>1.4999999999999999E-2</v>
      </c>
      <c r="G9" s="108">
        <v>1.4999999999999999E-2</v>
      </c>
    </row>
    <row r="10" spans="1:7">
      <c r="A10" s="106" t="s">
        <v>185</v>
      </c>
      <c r="B10" s="387" t="s">
        <v>186</v>
      </c>
      <c r="C10" s="387"/>
      <c r="D10" s="107">
        <v>0.01</v>
      </c>
      <c r="E10" s="107">
        <v>0.01</v>
      </c>
      <c r="F10" s="107">
        <v>0.01</v>
      </c>
      <c r="G10" s="108">
        <v>0.01</v>
      </c>
    </row>
    <row r="11" spans="1:7">
      <c r="A11" s="106" t="s">
        <v>187</v>
      </c>
      <c r="B11" s="387" t="s">
        <v>188</v>
      </c>
      <c r="C11" s="387"/>
      <c r="D11" s="107">
        <v>2E-3</v>
      </c>
      <c r="E11" s="107">
        <v>2E-3</v>
      </c>
      <c r="F11" s="107">
        <v>2E-3</v>
      </c>
      <c r="G11" s="108">
        <v>2E-3</v>
      </c>
    </row>
    <row r="12" spans="1:7">
      <c r="A12" s="106" t="s">
        <v>189</v>
      </c>
      <c r="B12" s="387" t="s">
        <v>190</v>
      </c>
      <c r="C12" s="387"/>
      <c r="D12" s="107">
        <v>6.0000000000000001E-3</v>
      </c>
      <c r="E12" s="107">
        <v>6.0000000000000001E-3</v>
      </c>
      <c r="F12" s="107">
        <v>6.0000000000000001E-3</v>
      </c>
      <c r="G12" s="108">
        <v>6.0000000000000001E-3</v>
      </c>
    </row>
    <row r="13" spans="1:7">
      <c r="A13" s="106" t="s">
        <v>191</v>
      </c>
      <c r="B13" s="387" t="s">
        <v>192</v>
      </c>
      <c r="C13" s="387"/>
      <c r="D13" s="107">
        <v>2.5000000000000001E-2</v>
      </c>
      <c r="E13" s="107">
        <v>2.5000000000000001E-2</v>
      </c>
      <c r="F13" s="107">
        <v>2.5000000000000001E-2</v>
      </c>
      <c r="G13" s="108">
        <v>2.5000000000000001E-2</v>
      </c>
    </row>
    <row r="14" spans="1:7">
      <c r="A14" s="106" t="s">
        <v>193</v>
      </c>
      <c r="B14" s="387" t="s">
        <v>194</v>
      </c>
      <c r="C14" s="387"/>
      <c r="D14" s="107">
        <v>0.03</v>
      </c>
      <c r="E14" s="107">
        <v>0.03</v>
      </c>
      <c r="F14" s="107">
        <v>0.03</v>
      </c>
      <c r="G14" s="108">
        <v>0.03</v>
      </c>
    </row>
    <row r="15" spans="1:7">
      <c r="A15" s="106" t="s">
        <v>195</v>
      </c>
      <c r="B15" s="387" t="s">
        <v>196</v>
      </c>
      <c r="C15" s="387"/>
      <c r="D15" s="107">
        <v>0.08</v>
      </c>
      <c r="E15" s="107">
        <v>0.08</v>
      </c>
      <c r="F15" s="107">
        <v>0.08</v>
      </c>
      <c r="G15" s="108">
        <v>0.08</v>
      </c>
    </row>
    <row r="16" spans="1:7" ht="15.75" thickBot="1">
      <c r="A16" s="109" t="s">
        <v>197</v>
      </c>
      <c r="B16" s="412" t="s">
        <v>198</v>
      </c>
      <c r="C16" s="412"/>
      <c r="D16" s="110">
        <v>0.01</v>
      </c>
      <c r="E16" s="110">
        <v>0.01</v>
      </c>
      <c r="F16" s="110">
        <v>0.01</v>
      </c>
      <c r="G16" s="111">
        <v>0.01</v>
      </c>
    </row>
    <row r="17" spans="1:7" ht="17.25" thickTop="1" thickBot="1">
      <c r="A17" s="112" t="s">
        <v>199</v>
      </c>
      <c r="B17" s="413" t="s">
        <v>8</v>
      </c>
      <c r="C17" s="413"/>
      <c r="D17" s="113">
        <f>SUM(D8:D16)</f>
        <v>0.17799999999999999</v>
      </c>
      <c r="E17" s="113">
        <f>SUM(E8:E16)</f>
        <v>0.17799999999999999</v>
      </c>
      <c r="F17" s="113">
        <f>SUM(F8:F16)</f>
        <v>0.37800000000000006</v>
      </c>
      <c r="G17" s="114">
        <f>SUM(G8:G16)</f>
        <v>0.37800000000000006</v>
      </c>
    </row>
    <row r="18" spans="1:7" ht="16.5" thickBot="1">
      <c r="A18" s="414" t="s">
        <v>200</v>
      </c>
      <c r="B18" s="415"/>
      <c r="C18" s="415"/>
      <c r="D18" s="415"/>
      <c r="E18" s="415"/>
      <c r="F18" s="415"/>
      <c r="G18" s="416"/>
    </row>
    <row r="19" spans="1:7" ht="15.75" thickTop="1">
      <c r="A19" s="103" t="s">
        <v>201</v>
      </c>
      <c r="B19" s="411" t="s">
        <v>202</v>
      </c>
      <c r="C19" s="411"/>
      <c r="D19" s="104">
        <v>0.17979999999999999</v>
      </c>
      <c r="E19" s="104" t="s">
        <v>203</v>
      </c>
      <c r="F19" s="104">
        <v>0.17979999999999999</v>
      </c>
      <c r="G19" s="105" t="s">
        <v>203</v>
      </c>
    </row>
    <row r="20" spans="1:7">
      <c r="A20" s="106" t="s">
        <v>204</v>
      </c>
      <c r="B20" s="387" t="s">
        <v>205</v>
      </c>
      <c r="C20" s="387"/>
      <c r="D20" s="107">
        <v>4.6899999999999997E-2</v>
      </c>
      <c r="E20" s="107" t="s">
        <v>203</v>
      </c>
      <c r="F20" s="107">
        <v>4.6899999999999997E-2</v>
      </c>
      <c r="G20" s="108" t="s">
        <v>203</v>
      </c>
    </row>
    <row r="21" spans="1:7">
      <c r="A21" s="106" t="s">
        <v>206</v>
      </c>
      <c r="B21" s="387" t="s">
        <v>207</v>
      </c>
      <c r="C21" s="387"/>
      <c r="D21" s="107">
        <v>9.2999999999999992E-3</v>
      </c>
      <c r="E21" s="107">
        <v>7.1000000000000004E-3</v>
      </c>
      <c r="F21" s="107">
        <v>9.2999999999999992E-3</v>
      </c>
      <c r="G21" s="108">
        <v>7.1000000000000004E-3</v>
      </c>
    </row>
    <row r="22" spans="1:7">
      <c r="A22" s="106" t="s">
        <v>208</v>
      </c>
      <c r="B22" s="387" t="s">
        <v>209</v>
      </c>
      <c r="C22" s="387"/>
      <c r="D22" s="107">
        <v>0.1086</v>
      </c>
      <c r="E22" s="107">
        <v>8.3299999999999999E-2</v>
      </c>
      <c r="F22" s="107">
        <v>0.1086</v>
      </c>
      <c r="G22" s="108">
        <v>8.3299999999999999E-2</v>
      </c>
    </row>
    <row r="23" spans="1:7">
      <c r="A23" s="106" t="s">
        <v>210</v>
      </c>
      <c r="B23" s="387" t="s">
        <v>211</v>
      </c>
      <c r="C23" s="387"/>
      <c r="D23" s="107">
        <v>6.9999999999999999E-4</v>
      </c>
      <c r="E23" s="107">
        <v>5.9999999999999995E-4</v>
      </c>
      <c r="F23" s="107">
        <v>6.9999999999999999E-4</v>
      </c>
      <c r="G23" s="108">
        <v>5.9999999999999995E-4</v>
      </c>
    </row>
    <row r="24" spans="1:7">
      <c r="A24" s="106" t="s">
        <v>212</v>
      </c>
      <c r="B24" s="387" t="s">
        <v>213</v>
      </c>
      <c r="C24" s="387"/>
      <c r="D24" s="107">
        <v>7.1999999999999998E-3</v>
      </c>
      <c r="E24" s="107">
        <v>5.5999999999999999E-3</v>
      </c>
      <c r="F24" s="107">
        <v>7.1999999999999998E-3</v>
      </c>
      <c r="G24" s="108">
        <v>5.5999999999999999E-3</v>
      </c>
    </row>
    <row r="25" spans="1:7">
      <c r="A25" s="106" t="s">
        <v>214</v>
      </c>
      <c r="B25" s="387" t="s">
        <v>215</v>
      </c>
      <c r="C25" s="387"/>
      <c r="D25" s="107">
        <v>1.32E-2</v>
      </c>
      <c r="E25" s="107" t="s">
        <v>203</v>
      </c>
      <c r="F25" s="107">
        <v>1.32E-2</v>
      </c>
      <c r="G25" s="108" t="s">
        <v>203</v>
      </c>
    </row>
    <row r="26" spans="1:7">
      <c r="A26" s="106" t="s">
        <v>216</v>
      </c>
      <c r="B26" s="387" t="s">
        <v>217</v>
      </c>
      <c r="C26" s="387"/>
      <c r="D26" s="107">
        <v>1.1000000000000001E-3</v>
      </c>
      <c r="E26" s="107">
        <v>8.9999999999999998E-4</v>
      </c>
      <c r="F26" s="107">
        <v>1.1000000000000001E-3</v>
      </c>
      <c r="G26" s="108">
        <v>8.9999999999999998E-4</v>
      </c>
    </row>
    <row r="27" spans="1:7">
      <c r="A27" s="106" t="s">
        <v>218</v>
      </c>
      <c r="B27" s="387" t="s">
        <v>219</v>
      </c>
      <c r="C27" s="387"/>
      <c r="D27" s="107">
        <v>8.4900000000000003E-2</v>
      </c>
      <c r="E27" s="107">
        <v>6.5100000000000005E-2</v>
      </c>
      <c r="F27" s="107">
        <v>8.4900000000000003E-2</v>
      </c>
      <c r="G27" s="108">
        <v>6.5100000000000005E-2</v>
      </c>
    </row>
    <row r="28" spans="1:7" ht="15.75" thickBot="1">
      <c r="A28" s="109" t="s">
        <v>220</v>
      </c>
      <c r="B28" s="412" t="s">
        <v>221</v>
      </c>
      <c r="C28" s="412"/>
      <c r="D28" s="110">
        <v>2.9999999999999997E-4</v>
      </c>
      <c r="E28" s="110">
        <v>2.0000000000000001E-4</v>
      </c>
      <c r="F28" s="110">
        <v>2.9999999999999997E-4</v>
      </c>
      <c r="G28" s="111">
        <v>2.0000000000000001E-4</v>
      </c>
    </row>
    <row r="29" spans="1:7" ht="17.25" thickTop="1" thickBot="1">
      <c r="A29" s="112" t="s">
        <v>222</v>
      </c>
      <c r="B29" s="413" t="s">
        <v>8</v>
      </c>
      <c r="C29" s="413"/>
      <c r="D29" s="113">
        <f>SUM(D19:D28)</f>
        <v>0.45200000000000001</v>
      </c>
      <c r="E29" s="113">
        <f>SUM(E19:E28)</f>
        <v>0.1628</v>
      </c>
      <c r="F29" s="113">
        <f>SUM(F19:F28)</f>
        <v>0.45200000000000001</v>
      </c>
      <c r="G29" s="114">
        <f>SUM(G19:G28)</f>
        <v>0.1628</v>
      </c>
    </row>
    <row r="30" spans="1:7" ht="16.5" thickBot="1">
      <c r="A30" s="414" t="s">
        <v>223</v>
      </c>
      <c r="B30" s="415"/>
      <c r="C30" s="415"/>
      <c r="D30" s="415"/>
      <c r="E30" s="415"/>
      <c r="F30" s="415"/>
      <c r="G30" s="416"/>
    </row>
    <row r="31" spans="1:7" ht="15.75" thickTop="1">
      <c r="A31" s="103" t="s">
        <v>224</v>
      </c>
      <c r="B31" s="411" t="s">
        <v>225</v>
      </c>
      <c r="C31" s="411"/>
      <c r="D31" s="104">
        <v>5.1900000000000002E-2</v>
      </c>
      <c r="E31" s="104">
        <v>3.9800000000000002E-2</v>
      </c>
      <c r="F31" s="104">
        <v>5.1900000000000002E-2</v>
      </c>
      <c r="G31" s="104">
        <v>3.9800000000000002E-2</v>
      </c>
    </row>
    <row r="32" spans="1:7">
      <c r="A32" s="106" t="s">
        <v>226</v>
      </c>
      <c r="B32" s="387" t="s">
        <v>227</v>
      </c>
      <c r="C32" s="387"/>
      <c r="D32" s="107">
        <v>1.1999999999999999E-3</v>
      </c>
      <c r="E32" s="107">
        <v>8.9999999999999998E-4</v>
      </c>
      <c r="F32" s="107">
        <v>1.1999999999999999E-3</v>
      </c>
      <c r="G32" s="107">
        <v>8.9999999999999998E-4</v>
      </c>
    </row>
    <row r="33" spans="1:7">
      <c r="A33" s="106" t="s">
        <v>228</v>
      </c>
      <c r="B33" s="387" t="s">
        <v>229</v>
      </c>
      <c r="C33" s="387"/>
      <c r="D33" s="107">
        <v>4.6600000000000003E-2</v>
      </c>
      <c r="E33" s="107">
        <v>3.5799999999999998E-2</v>
      </c>
      <c r="F33" s="107">
        <v>4.6600000000000003E-2</v>
      </c>
      <c r="G33" s="107">
        <v>3.5799999999999998E-2</v>
      </c>
    </row>
    <row r="34" spans="1:7">
      <c r="A34" s="106" t="s">
        <v>230</v>
      </c>
      <c r="B34" s="387" t="s">
        <v>231</v>
      </c>
      <c r="C34" s="387"/>
      <c r="D34" s="107">
        <v>4.8300000000000003E-2</v>
      </c>
      <c r="E34" s="107">
        <v>3.7100000000000001E-2</v>
      </c>
      <c r="F34" s="107">
        <v>4.8300000000000003E-2</v>
      </c>
      <c r="G34" s="107">
        <v>3.7100000000000001E-2</v>
      </c>
    </row>
    <row r="35" spans="1:7" ht="15.75" thickBot="1">
      <c r="A35" s="109" t="s">
        <v>232</v>
      </c>
      <c r="B35" s="412" t="s">
        <v>233</v>
      </c>
      <c r="C35" s="412"/>
      <c r="D35" s="110">
        <v>4.4000000000000003E-3</v>
      </c>
      <c r="E35" s="110">
        <v>3.3999999999999998E-3</v>
      </c>
      <c r="F35" s="110">
        <v>4.4000000000000003E-3</v>
      </c>
      <c r="G35" s="110">
        <v>3.3999999999999998E-3</v>
      </c>
    </row>
    <row r="36" spans="1:7" ht="17.25" thickTop="1" thickBot="1">
      <c r="A36" s="112" t="s">
        <v>234</v>
      </c>
      <c r="B36" s="413" t="s">
        <v>8</v>
      </c>
      <c r="C36" s="413"/>
      <c r="D36" s="113">
        <f>SUM(D31:D35)</f>
        <v>0.15240000000000001</v>
      </c>
      <c r="E36" s="113">
        <f>SUM(E31:E35)</f>
        <v>0.11700000000000001</v>
      </c>
      <c r="F36" s="113">
        <f>SUM(F31:F35)</f>
        <v>0.15240000000000001</v>
      </c>
      <c r="G36" s="114">
        <f>SUM(G31:G35)</f>
        <v>0.11700000000000001</v>
      </c>
    </row>
    <row r="37" spans="1:7" ht="16.5" thickBot="1">
      <c r="A37" s="414" t="s">
        <v>235</v>
      </c>
      <c r="B37" s="415"/>
      <c r="C37" s="415"/>
      <c r="D37" s="415"/>
      <c r="E37" s="415"/>
      <c r="F37" s="415"/>
      <c r="G37" s="416"/>
    </row>
    <row r="38" spans="1:7" ht="15.75" thickTop="1">
      <c r="A38" s="103" t="s">
        <v>236</v>
      </c>
      <c r="B38" s="411" t="s">
        <v>237</v>
      </c>
      <c r="C38" s="411"/>
      <c r="D38" s="104">
        <v>8.0500000000000002E-2</v>
      </c>
      <c r="E38" s="104">
        <v>2.9000000000000001E-2</v>
      </c>
      <c r="F38" s="104">
        <v>0.1709</v>
      </c>
      <c r="G38" s="105">
        <v>6.1499999999999999E-2</v>
      </c>
    </row>
    <row r="39" spans="1:7" ht="49.5" customHeight="1" thickBot="1">
      <c r="A39" s="109" t="s">
        <v>238</v>
      </c>
      <c r="B39" s="412" t="s">
        <v>239</v>
      </c>
      <c r="C39" s="412"/>
      <c r="D39" s="110">
        <v>4.4000000000000003E-3</v>
      </c>
      <c r="E39" s="110">
        <v>3.3E-3</v>
      </c>
      <c r="F39" s="110">
        <v>4.5999999999999999E-3</v>
      </c>
      <c r="G39" s="111">
        <v>3.5000000000000001E-3</v>
      </c>
    </row>
    <row r="40" spans="1:7" ht="16.5" thickTop="1">
      <c r="A40" s="115" t="s">
        <v>240</v>
      </c>
      <c r="B40" s="417" t="s">
        <v>8</v>
      </c>
      <c r="C40" s="417"/>
      <c r="D40" s="116">
        <f>SUM(D38:D39)</f>
        <v>8.4900000000000003E-2</v>
      </c>
      <c r="E40" s="116">
        <f>SUM(E38:E39)</f>
        <v>3.2300000000000002E-2</v>
      </c>
      <c r="F40" s="116">
        <f>SUM(F38:F39)</f>
        <v>0.17549999999999999</v>
      </c>
      <c r="G40" s="117">
        <f>SUM(G38:G39)</f>
        <v>6.5000000000000002E-2</v>
      </c>
    </row>
    <row r="41" spans="1:7" ht="16.5" thickBot="1">
      <c r="A41" s="418" t="s">
        <v>241</v>
      </c>
      <c r="B41" s="419"/>
      <c r="C41" s="420"/>
      <c r="D41" s="199">
        <f>D17+D29+D36+D40</f>
        <v>0.86729999999999996</v>
      </c>
      <c r="E41" s="199">
        <f>E17+E29+E36+E40</f>
        <v>0.49009999999999998</v>
      </c>
      <c r="F41" s="199">
        <f>F17+F29+F36+F40</f>
        <v>1.1579000000000002</v>
      </c>
      <c r="G41" s="200">
        <f>G17+G29+G36+G40</f>
        <v>0.72280000000000011</v>
      </c>
    </row>
  </sheetData>
  <mergeCells count="44">
    <mergeCell ref="A37:G37"/>
    <mergeCell ref="B38:C38"/>
    <mergeCell ref="B39:C39"/>
    <mergeCell ref="B40:C40"/>
    <mergeCell ref="A41:C41"/>
    <mergeCell ref="B36:C36"/>
    <mergeCell ref="B25:C25"/>
    <mergeCell ref="B26:C26"/>
    <mergeCell ref="B27:C27"/>
    <mergeCell ref="B28:C28"/>
    <mergeCell ref="B29:C29"/>
    <mergeCell ref="A30:G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A18:G18"/>
    <mergeCell ref="B19:C19"/>
    <mergeCell ref="B20:C20"/>
    <mergeCell ref="B21:C21"/>
    <mergeCell ref="B22:C22"/>
    <mergeCell ref="B23:C23"/>
    <mergeCell ref="B12:C12"/>
    <mergeCell ref="A1:G1"/>
    <mergeCell ref="A2:E2"/>
    <mergeCell ref="F2:G2"/>
    <mergeCell ref="A3:G3"/>
    <mergeCell ref="A4:G4"/>
    <mergeCell ref="A5:A6"/>
    <mergeCell ref="B5:C6"/>
    <mergeCell ref="D5:E5"/>
    <mergeCell ref="F5:G5"/>
    <mergeCell ref="A7:G7"/>
    <mergeCell ref="B8:C8"/>
    <mergeCell ref="B9:C9"/>
    <mergeCell ref="B10:C10"/>
    <mergeCell ref="B11:C11"/>
  </mergeCells>
  <pageMargins left="0.75" right="0.75" top="1" bottom="1" header="0.5" footer="0.5"/>
  <pageSetup paperSize="9" scale="5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RESUMO</vt:lpstr>
      <vt:lpstr>PLANILHA</vt:lpstr>
      <vt:lpstr>CRONOGRAMA</vt:lpstr>
      <vt:lpstr>COMPOSIÇÕES </vt:lpstr>
      <vt:lpstr>COMPOSIÇÃO EMBARCAÇÃO</vt:lpstr>
      <vt:lpstr>BDI </vt:lpstr>
      <vt:lpstr>ADM</vt:lpstr>
      <vt:lpstr>LS</vt:lpstr>
      <vt:lpstr>ADM!Area_de_impressao</vt:lpstr>
      <vt:lpstr>'COMPOSIÇÃO EMBARCAÇÃO'!Area_de_impressao</vt:lpstr>
      <vt:lpstr>CRONOGRAMA!Area_de_impressao</vt:lpstr>
      <vt:lpstr>LS!Area_de_impressao</vt:lpstr>
      <vt:lpstr>PLANILHA!Area_de_impressao</vt:lpstr>
      <vt:lpstr>'COMPOSIÇÃO EMBARCAÇÃO'!Titulos_de_impressao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pauloas</dc:creator>
  <cp:lastModifiedBy>Markus Vinicius Trevisan</cp:lastModifiedBy>
  <cp:lastPrinted>2022-11-12T22:01:00Z</cp:lastPrinted>
  <dcterms:created xsi:type="dcterms:W3CDTF">2019-03-25T18:29:01Z</dcterms:created>
  <dcterms:modified xsi:type="dcterms:W3CDTF">2023-08-18T12:01:14Z</dcterms:modified>
</cp:coreProperties>
</file>