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19\PREGÃO ELETRÔNICO\BID\1837-19 - REVITALIZAÇÃO E MANUT GUARITA ITUTINGA PILÕES\"/>
    </mc:Choice>
  </mc:AlternateContent>
  <bookViews>
    <workbookView xWindow="0" yWindow="255" windowWidth="28755" windowHeight="12420" activeTab="5"/>
  </bookViews>
  <sheets>
    <sheet name="Cronograma" sheetId="1" r:id="rId1"/>
    <sheet name="Resumo" sheetId="2" r:id="rId2"/>
    <sheet name="Serv. Preliminares e Complement" sheetId="3" r:id="rId3"/>
    <sheet name="Guarita G3" sheetId="4" r:id="rId4"/>
    <sheet name="Guarita G1" sheetId="6" r:id="rId5"/>
    <sheet name="calculo BDI" sheetId="7" r:id="rId6"/>
  </sheets>
  <definedNames>
    <definedName name="_xlnm.Print_Area" localSheetId="5">'calculo BDI'!$A$1:$C$36</definedName>
    <definedName name="_xlnm.Print_Area" localSheetId="0">Cronograma!$A$1:$AF$48</definedName>
    <definedName name="_xlnm.Print_Area" localSheetId="4">'Guarita G1'!$A$1:$I$12</definedName>
    <definedName name="_xlnm.Print_Area" localSheetId="3">'Guarita G3'!$A$1:$I$121</definedName>
    <definedName name="_xlnm.Print_Area" localSheetId="1">Resumo!$A$1:$C$30</definedName>
    <definedName name="_xlnm.Print_Area" localSheetId="2">'Serv. Preliminares e Complement'!$A$1:$I$21</definedName>
  </definedNames>
  <calcPr calcId="152511"/>
</workbook>
</file>

<file path=xl/calcChain.xml><?xml version="1.0" encoding="utf-8"?>
<calcChain xmlns="http://schemas.openxmlformats.org/spreadsheetml/2006/main">
  <c r="L10" i="6" l="1"/>
  <c r="E7" i="4"/>
  <c r="H7" i="4"/>
  <c r="H57" i="4"/>
  <c r="E57" i="4"/>
  <c r="H105" i="4"/>
  <c r="H106" i="4"/>
  <c r="I106" i="4" s="1"/>
  <c r="E6" i="4"/>
  <c r="E105" i="4"/>
  <c r="H111" i="4"/>
  <c r="H39" i="4"/>
  <c r="I39" i="4" s="1"/>
  <c r="H40" i="4"/>
  <c r="I40" i="4" s="1"/>
  <c r="H41" i="4"/>
  <c r="I41" i="4" s="1"/>
  <c r="E15" i="4"/>
  <c r="I105" i="4" l="1"/>
  <c r="I7" i="4"/>
  <c r="I57" i="4"/>
  <c r="I111" i="4"/>
  <c r="H66" i="4"/>
  <c r="I66" i="4" s="1"/>
  <c r="H67" i="4"/>
  <c r="I67" i="4" s="1"/>
  <c r="E5" i="6"/>
  <c r="E6" i="6"/>
  <c r="H87" i="4"/>
  <c r="I87" i="4" s="1"/>
  <c r="H88" i="4"/>
  <c r="I88" i="4" s="1"/>
  <c r="H89" i="4"/>
  <c r="I89" i="4" s="1"/>
  <c r="H104" i="4"/>
  <c r="I104" i="4" s="1"/>
  <c r="H101" i="4"/>
  <c r="I101" i="4" s="1"/>
  <c r="H102" i="4"/>
  <c r="I102" i="4" s="1"/>
  <c r="E100" i="4"/>
  <c r="H22" i="4"/>
  <c r="I22" i="4" s="1"/>
  <c r="H23" i="4"/>
  <c r="I23" i="4" s="1"/>
  <c r="E12" i="4"/>
  <c r="E11" i="4"/>
  <c r="H6" i="4"/>
  <c r="I6" i="4" s="1"/>
  <c r="H8" i="4"/>
  <c r="I8" i="4" s="1"/>
  <c r="H9" i="4"/>
  <c r="E6" i="3"/>
  <c r="E25" i="4"/>
  <c r="H12" i="3"/>
  <c r="I12" i="3"/>
  <c r="H13" i="3"/>
  <c r="I13" i="3" s="1"/>
  <c r="H11" i="3"/>
  <c r="I11" i="3" s="1"/>
  <c r="H10" i="3"/>
  <c r="I10" i="3" s="1"/>
  <c r="H16" i="3"/>
  <c r="H15" i="3"/>
  <c r="H5" i="3"/>
  <c r="I5" i="3" s="1"/>
  <c r="H6" i="3"/>
  <c r="H7" i="3"/>
  <c r="I7" i="3" s="1"/>
  <c r="H4" i="3"/>
  <c r="I4" i="3" s="1"/>
  <c r="H5" i="6"/>
  <c r="I5" i="6" s="1"/>
  <c r="H6" i="6"/>
  <c r="H7" i="6"/>
  <c r="H4" i="6"/>
  <c r="H15" i="4"/>
  <c r="I15" i="4" s="1"/>
  <c r="H10" i="4"/>
  <c r="H11" i="4"/>
  <c r="H12" i="4"/>
  <c r="I12" i="4" s="1"/>
  <c r="H13" i="4"/>
  <c r="H5" i="4"/>
  <c r="H4" i="4"/>
  <c r="H21" i="4"/>
  <c r="H20" i="4"/>
  <c r="H19" i="4"/>
  <c r="H18" i="4"/>
  <c r="H28" i="4"/>
  <c r="H27" i="4"/>
  <c r="I27" i="4" s="1"/>
  <c r="H26" i="4"/>
  <c r="H25" i="4"/>
  <c r="H35" i="4"/>
  <c r="H36" i="4"/>
  <c r="H37" i="4"/>
  <c r="I37" i="4" s="1"/>
  <c r="H38" i="4"/>
  <c r="I38" i="4" s="1"/>
  <c r="H42" i="4"/>
  <c r="I42" i="4" s="1"/>
  <c r="H43" i="4"/>
  <c r="I43" i="4" s="1"/>
  <c r="H34" i="4"/>
  <c r="H33" i="4"/>
  <c r="H32" i="4"/>
  <c r="I32" i="4" s="1"/>
  <c r="H116" i="4"/>
  <c r="I116" i="4" s="1"/>
  <c r="H115" i="4"/>
  <c r="I115" i="4" s="1"/>
  <c r="H114" i="4"/>
  <c r="I114" i="4" s="1"/>
  <c r="H110" i="4"/>
  <c r="H109" i="4"/>
  <c r="H85" i="4"/>
  <c r="I85" i="4" s="1"/>
  <c r="H86" i="4"/>
  <c r="I86" i="4" s="1"/>
  <c r="H90" i="4"/>
  <c r="I90" i="4" s="1"/>
  <c r="H96" i="4"/>
  <c r="H97" i="4"/>
  <c r="I97" i="4" s="1"/>
  <c r="H98" i="4"/>
  <c r="H99" i="4"/>
  <c r="H100" i="4"/>
  <c r="H103" i="4"/>
  <c r="I103" i="4" s="1"/>
  <c r="H95" i="4"/>
  <c r="I95" i="4" s="1"/>
  <c r="H94" i="4"/>
  <c r="H93" i="4"/>
  <c r="I93" i="4" s="1"/>
  <c r="H92" i="4"/>
  <c r="I92" i="4" s="1"/>
  <c r="H84" i="4"/>
  <c r="I84" i="4" s="1"/>
  <c r="H83" i="4"/>
  <c r="I83" i="4" s="1"/>
  <c r="H56" i="4"/>
  <c r="H55" i="4"/>
  <c r="H54" i="4"/>
  <c r="H53" i="4"/>
  <c r="I53" i="4" s="1"/>
  <c r="H65" i="4"/>
  <c r="I65" i="4" s="1"/>
  <c r="H68" i="4"/>
  <c r="I68" i="4" s="1"/>
  <c r="H69" i="4"/>
  <c r="I69" i="4" s="1"/>
  <c r="H70" i="4"/>
  <c r="I70" i="4" s="1"/>
  <c r="H71" i="4"/>
  <c r="I71" i="4" s="1"/>
  <c r="H72" i="4"/>
  <c r="I72" i="4" s="1"/>
  <c r="H73" i="4"/>
  <c r="I73" i="4" s="1"/>
  <c r="H74" i="4"/>
  <c r="I74" i="4" s="1"/>
  <c r="H76" i="4"/>
  <c r="I76" i="4" s="1"/>
  <c r="H77" i="4"/>
  <c r="I77" i="4" s="1"/>
  <c r="H78" i="4"/>
  <c r="I78" i="4" s="1"/>
  <c r="H79" i="4"/>
  <c r="I79" i="4" s="1"/>
  <c r="H80" i="4"/>
  <c r="I80" i="4" s="1"/>
  <c r="H81" i="4"/>
  <c r="I81" i="4" s="1"/>
  <c r="H64" i="4"/>
  <c r="H63" i="4"/>
  <c r="H62" i="4"/>
  <c r="H61" i="4"/>
  <c r="I61" i="4" s="1"/>
  <c r="H60" i="4"/>
  <c r="I60" i="4" s="1"/>
  <c r="H59" i="4"/>
  <c r="I59" i="4" s="1"/>
  <c r="H50" i="4"/>
  <c r="I50" i="4"/>
  <c r="H51" i="4"/>
  <c r="I51" i="4" s="1"/>
  <c r="H49" i="4"/>
  <c r="I49" i="4" s="1"/>
  <c r="H48" i="4"/>
  <c r="I48" i="4" s="1"/>
  <c r="H47" i="4"/>
  <c r="I47" i="4" s="1"/>
  <c r="H46" i="4"/>
  <c r="I46" i="4" s="1"/>
  <c r="K42" i="1"/>
  <c r="O42" i="1"/>
  <c r="S42" i="1"/>
  <c r="W42" i="1"/>
  <c r="AA42" i="1"/>
  <c r="E98" i="4"/>
  <c r="E99" i="4" s="1"/>
  <c r="E96" i="4"/>
  <c r="E94" i="4"/>
  <c r="E62" i="4"/>
  <c r="B35" i="1"/>
  <c r="B33" i="1"/>
  <c r="B31" i="1"/>
  <c r="B29" i="1"/>
  <c r="B27" i="1"/>
  <c r="B25" i="1"/>
  <c r="B23" i="1"/>
  <c r="B21" i="1"/>
  <c r="B19" i="1"/>
  <c r="B17" i="1"/>
  <c r="B15" i="1"/>
  <c r="B13" i="1"/>
  <c r="I11" i="4" l="1"/>
  <c r="I94" i="4"/>
  <c r="I98" i="4"/>
  <c r="I99" i="4"/>
  <c r="I62" i="4"/>
  <c r="I25" i="4"/>
  <c r="I96" i="4"/>
  <c r="I6" i="6"/>
  <c r="I100" i="4"/>
  <c r="I6" i="3"/>
  <c r="E13" i="4"/>
  <c r="I13" i="4" s="1"/>
  <c r="E10" i="4"/>
  <c r="I10" i="4" s="1"/>
  <c r="E18" i="4"/>
  <c r="E109" i="4" s="1"/>
  <c r="E20" i="4"/>
  <c r="I20" i="4" s="1"/>
  <c r="E19" i="4"/>
  <c r="E21" i="4" s="1"/>
  <c r="I21" i="4" s="1"/>
  <c r="I18" i="4" l="1"/>
  <c r="I19" i="4"/>
  <c r="E55" i="4"/>
  <c r="I55" i="4" s="1"/>
  <c r="E54" i="4"/>
  <c r="I54" i="4" s="1"/>
  <c r="H16" i="4"/>
  <c r="E28" i="4"/>
  <c r="I28" i="4" s="1"/>
  <c r="E26" i="4"/>
  <c r="I26" i="4" s="1"/>
  <c r="I109" i="4" l="1"/>
  <c r="E110" i="4"/>
  <c r="I110" i="4" s="1"/>
  <c r="I17" i="4"/>
  <c r="I16" i="4"/>
  <c r="I14" i="4" s="1"/>
  <c r="I108" i="4" l="1"/>
  <c r="B39" i="1"/>
  <c r="B37" i="1"/>
  <c r="B5" i="1"/>
  <c r="B3" i="1"/>
  <c r="B9" i="1"/>
  <c r="C36" i="7"/>
  <c r="L118" i="4" s="1"/>
  <c r="C119" i="4" s="1"/>
  <c r="C15" i="7"/>
  <c r="C14" i="7"/>
  <c r="C12" i="7"/>
  <c r="C10" i="7"/>
  <c r="C8" i="7"/>
  <c r="L19" i="3" l="1"/>
  <c r="C19" i="3" s="1"/>
  <c r="C10" i="6"/>
  <c r="F27" i="2"/>
  <c r="B27" i="2" s="1"/>
  <c r="AI43" i="1"/>
  <c r="C26" i="7"/>
  <c r="L119" i="4" s="1"/>
  <c r="C120" i="4" s="1"/>
  <c r="E4" i="6"/>
  <c r="H8" i="6"/>
  <c r="I8" i="6" s="1"/>
  <c r="K43" i="1" l="1"/>
  <c r="AA43" i="1"/>
  <c r="W43" i="1"/>
  <c r="W44" i="1" s="1"/>
  <c r="S43" i="1"/>
  <c r="O43" i="1"/>
  <c r="E7" i="6"/>
  <c r="I7" i="6" s="1"/>
  <c r="I4" i="6"/>
  <c r="L11" i="6"/>
  <c r="L20" i="3"/>
  <c r="AI44" i="1"/>
  <c r="F28" i="2"/>
  <c r="AA44" i="1" l="1"/>
  <c r="O44" i="1"/>
  <c r="K44" i="1"/>
  <c r="S44" i="1"/>
  <c r="C20" i="3"/>
  <c r="B28" i="2"/>
  <c r="A44" i="1"/>
  <c r="C11" i="6"/>
  <c r="E56" i="4"/>
  <c r="I56" i="4" s="1"/>
  <c r="I52" i="4" s="1"/>
  <c r="I82" i="4" l="1"/>
  <c r="I113" i="4"/>
  <c r="I3" i="6" l="1"/>
  <c r="I9" i="6" l="1"/>
  <c r="E5" i="4"/>
  <c r="I5" i="4" l="1"/>
  <c r="C40" i="1"/>
  <c r="I10" i="6"/>
  <c r="I11" i="6" s="1"/>
  <c r="E34" i="4"/>
  <c r="I34" i="4" s="1"/>
  <c r="E35" i="4"/>
  <c r="I35" i="4" s="1"/>
  <c r="E33" i="4"/>
  <c r="I33" i="4" s="1"/>
  <c r="AF39" i="1" l="1"/>
  <c r="G38" i="1"/>
  <c r="W38" i="1"/>
  <c r="O38" i="1"/>
  <c r="AA38" i="1"/>
  <c r="S38" i="1"/>
  <c r="C38" i="1"/>
  <c r="K38" i="1"/>
  <c r="H12" i="6"/>
  <c r="E36" i="4"/>
  <c r="I36" i="4" s="1"/>
  <c r="H75" i="4" l="1"/>
  <c r="I75" i="4" s="1"/>
  <c r="E64" i="4" l="1"/>
  <c r="I64" i="4" s="1"/>
  <c r="E63" i="4"/>
  <c r="I63" i="4" s="1"/>
  <c r="E16" i="3" l="1"/>
  <c r="I16" i="3" s="1"/>
  <c r="E15" i="3"/>
  <c r="I15" i="3" s="1"/>
  <c r="E4" i="4"/>
  <c r="E9" i="4" s="1"/>
  <c r="I9" i="4" l="1"/>
  <c r="I4" i="4"/>
  <c r="I58" i="4"/>
  <c r="I91" i="4"/>
  <c r="I14" i="3"/>
  <c r="H30" i="4"/>
  <c r="I30" i="4" s="1"/>
  <c r="I45" i="4" l="1"/>
  <c r="I3" i="4"/>
  <c r="I31" i="4" l="1"/>
  <c r="I24" i="4"/>
  <c r="G42" i="1" l="1"/>
  <c r="G43" i="1" s="1"/>
  <c r="G44" i="1" s="1"/>
  <c r="H8" i="3"/>
  <c r="B7" i="1" l="1"/>
  <c r="B11" i="1"/>
  <c r="I118" i="4" l="1"/>
  <c r="I123" i="4" s="1"/>
  <c r="I8" i="3"/>
  <c r="I119" i="4" l="1"/>
  <c r="I120" i="4" s="1"/>
  <c r="I9" i="3"/>
  <c r="I3" i="3"/>
  <c r="I18" i="3" l="1"/>
  <c r="C43" i="1" l="1"/>
  <c r="C44" i="1" s="1"/>
  <c r="I23" i="3"/>
  <c r="I19" i="3"/>
  <c r="I20" i="3" s="1"/>
  <c r="G4" i="1"/>
  <c r="C4" i="1" l="1"/>
  <c r="C45" i="1"/>
  <c r="C48" i="1" s="1"/>
  <c r="AF9" i="1"/>
  <c r="W4" i="1"/>
  <c r="S4" i="1"/>
  <c r="O4" i="1"/>
  <c r="K4" i="1"/>
  <c r="AF7" i="1"/>
  <c r="AA4" i="1"/>
  <c r="AF5" i="1"/>
  <c r="H21" i="3"/>
  <c r="G45" i="1" l="1"/>
  <c r="G48" i="1" s="1"/>
  <c r="K45" i="1"/>
  <c r="K48" i="1" s="1"/>
  <c r="O45" i="1"/>
  <c r="O48" i="1" s="1"/>
  <c r="S45" i="1"/>
  <c r="S48" i="1" s="1"/>
  <c r="W45" i="1"/>
  <c r="W48" i="1" s="1"/>
  <c r="AA45" i="1" l="1"/>
  <c r="AA48" i="1" s="1"/>
  <c r="C26" i="2" l="1"/>
  <c r="C27" i="2" s="1"/>
  <c r="C28" i="2" s="1"/>
  <c r="C12" i="1" l="1"/>
  <c r="G12" i="1"/>
  <c r="AF25" i="1"/>
  <c r="AF27" i="1"/>
  <c r="AF21" i="1"/>
  <c r="AF23" i="1"/>
  <c r="K12" i="1"/>
  <c r="AF35" i="1"/>
  <c r="AF19" i="1"/>
  <c r="AF29" i="1"/>
  <c r="AF31" i="1"/>
  <c r="AF13" i="1"/>
  <c r="AF33" i="1"/>
  <c r="AA12" i="1"/>
  <c r="AF15" i="1"/>
  <c r="AF17" i="1"/>
  <c r="W12" i="1"/>
  <c r="O12" i="1"/>
  <c r="S12" i="1"/>
  <c r="C29" i="2"/>
  <c r="H121" i="4"/>
  <c r="AE43" i="1" l="1"/>
  <c r="AE44" i="1" s="1"/>
  <c r="AF37" i="1"/>
  <c r="AF3" i="1"/>
  <c r="AF11" i="1"/>
  <c r="AE45" i="1" l="1"/>
  <c r="AE48" i="1" s="1"/>
</calcChain>
</file>

<file path=xl/sharedStrings.xml><?xml version="1.0" encoding="utf-8"?>
<sst xmlns="http://schemas.openxmlformats.org/spreadsheetml/2006/main" count="570" uniqueCount="398">
  <si>
    <t>Item</t>
  </si>
  <si>
    <t>Edificação/Serviços</t>
  </si>
  <si>
    <t>Meses</t>
  </si>
  <si>
    <t>Custo Total por Serviços</t>
  </si>
  <si>
    <t>01</t>
  </si>
  <si>
    <t>02</t>
  </si>
  <si>
    <t>03</t>
  </si>
  <si>
    <t>Valor R$</t>
  </si>
  <si>
    <t>Percentual</t>
  </si>
  <si>
    <t>Total Obra</t>
  </si>
  <si>
    <t xml:space="preserve">Adm. Local </t>
  </si>
  <si>
    <t>Total (Obra + Adm + BDI.)</t>
  </si>
  <si>
    <t>Gerenciamento</t>
  </si>
  <si>
    <t>Total (Obra + BDI + Adm. + Gerenciamento)</t>
  </si>
  <si>
    <t>Obra</t>
  </si>
  <si>
    <t>Valor</t>
  </si>
  <si>
    <t>Total</t>
  </si>
  <si>
    <t>Total + BDI</t>
  </si>
  <si>
    <t>Cód. CPOS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</si>
  <si>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</si>
  <si>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</si>
  <si>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</si>
  <si>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</si>
  <si>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</si>
  <si>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</si>
  <si>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</si>
  <si>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</si>
  <si>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</si>
  <si>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</si>
  <si>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1.1</t>
  </si>
  <si>
    <t>1.2</t>
  </si>
  <si>
    <t>1.3</t>
  </si>
  <si>
    <t>1.4</t>
  </si>
  <si>
    <t>1.5</t>
  </si>
  <si>
    <t>2.2</t>
  </si>
  <si>
    <t>3.1</t>
  </si>
  <si>
    <t>3.2</t>
  </si>
  <si>
    <t>3.3</t>
  </si>
  <si>
    <t>3.4</t>
  </si>
  <si>
    <t>1.6</t>
  </si>
  <si>
    <t>1.8</t>
  </si>
  <si>
    <t>un</t>
  </si>
  <si>
    <t>4.1</t>
  </si>
  <si>
    <t>4.2</t>
  </si>
  <si>
    <t>04</t>
  </si>
  <si>
    <t>05</t>
  </si>
  <si>
    <t>06</t>
  </si>
  <si>
    <t>07</t>
  </si>
  <si>
    <t>Serviços Preliminares e Complementares</t>
  </si>
  <si>
    <t>Serviços Preliminares</t>
  </si>
  <si>
    <t>02.08.020</t>
  </si>
  <si>
    <t>Placa de identificação para obra</t>
  </si>
  <si>
    <t>unxmês</t>
  </si>
  <si>
    <t>m²</t>
  </si>
  <si>
    <t>02.03.030</t>
  </si>
  <si>
    <t>Proteção de superfícies em geral com plástico bolha</t>
  </si>
  <si>
    <t>02.03.120</t>
  </si>
  <si>
    <t>Tapume fixo para fechamento de áreas, com portão</t>
  </si>
  <si>
    <t>Demolição e retiradas</t>
  </si>
  <si>
    <t>m</t>
  </si>
  <si>
    <t>Cobertura</t>
  </si>
  <si>
    <t>2.3</t>
  </si>
  <si>
    <t>2.4</t>
  </si>
  <si>
    <t>4.3</t>
  </si>
  <si>
    <t>Projetos</t>
  </si>
  <si>
    <t>m³</t>
  </si>
  <si>
    <t>01.06.021</t>
  </si>
  <si>
    <t>Elaboração de projeto de adequação de entrada de energia elétrica junto a concessionária, com medição em baixa tensão e demanda até 75 kVA</t>
  </si>
  <si>
    <t>01.17.111</t>
  </si>
  <si>
    <t>Projeto executivo de instalações elétricas em formato A1</t>
  </si>
  <si>
    <t>01.17.031</t>
  </si>
  <si>
    <t>Projeto executivo de arquitetura em formato A1</t>
  </si>
  <si>
    <t>Entrada de Energia</t>
  </si>
  <si>
    <t>Entrada de Água</t>
  </si>
  <si>
    <t>02.10.040</t>
  </si>
  <si>
    <t>Locação de rede de canalização</t>
  </si>
  <si>
    <t>03.03.040</t>
  </si>
  <si>
    <t>Demolição manual de revestimento em massa de parede ou teto</t>
  </si>
  <si>
    <t>Revestimento Argamassado</t>
  </si>
  <si>
    <t>Instalação Eletrica</t>
  </si>
  <si>
    <t>Acabamentos</t>
  </si>
  <si>
    <t>04.08.060</t>
  </si>
  <si>
    <t>Retirada de batente com guarnição e peças lineares em madeira, chumbados</t>
  </si>
  <si>
    <t>05.07.050</t>
  </si>
  <si>
    <t>Remoção de entulho de obra com caçamba metálica - material volumoso e misturado por alvenaria, terra, madeira, papel, plástico e metal</t>
  </si>
  <si>
    <t>06.02.020</t>
  </si>
  <si>
    <t>Escavação manual em solo de 1ª e 2ª categoria em vala ou cava até 1,50 m</t>
  </si>
  <si>
    <t>06.11.040</t>
  </si>
  <si>
    <t>Reaterro manual apiloado sem controle de compactação</t>
  </si>
  <si>
    <t>11.18.180</t>
  </si>
  <si>
    <t>Colchão de areia</t>
  </si>
  <si>
    <t>11.20.130</t>
  </si>
  <si>
    <t>Tratamento de fissuras estáveis (não ativas) em elementos de concreto</t>
  </si>
  <si>
    <t>26.01.020</t>
  </si>
  <si>
    <t>Vidro liso transparente de 3 mm</t>
  </si>
  <si>
    <t>28.01.020</t>
  </si>
  <si>
    <t>Ferragem completa com maçaneta tipo alavanca, para porta externa com 1 folha</t>
  </si>
  <si>
    <t>cj</t>
  </si>
  <si>
    <t>45.01.020</t>
  </si>
  <si>
    <t>Entrada completa de água com abrigo e registro de gaveta, DN= 3/4´</t>
  </si>
  <si>
    <t>45.03.100</t>
  </si>
  <si>
    <t>Hidrômetro em bronze, diâmetro de 25 mm (1´)</t>
  </si>
  <si>
    <t>50.10.110</t>
  </si>
  <si>
    <t>Extintor manual de pó químico seco ABC - capacidade de 4 kg</t>
  </si>
  <si>
    <t>Limpeza Final</t>
  </si>
  <si>
    <t>55.01.020</t>
  </si>
  <si>
    <t>Limpeza final da obra</t>
  </si>
  <si>
    <t>55.01.130</t>
  </si>
  <si>
    <t>Limpeza e lavagem de superfície revestida com material cerâmico ou pastilhas por hidrojateamento com rejuntamento</t>
  </si>
  <si>
    <t>97.03.010</t>
  </si>
  <si>
    <t>Sinalização com pictograma em tinta acrílica</t>
  </si>
  <si>
    <t>50.10.210</t>
  </si>
  <si>
    <t>Suporte para extintor de piso em fibra de vidro</t>
  </si>
  <si>
    <t>37.03.200</t>
  </si>
  <si>
    <t>Quadro de distribuição universal de embutir, para disjuntores 16 DIN / 12 Bolt-on - 150 A - sem componentes</t>
  </si>
  <si>
    <t>37.17.074</t>
  </si>
  <si>
    <t>Dispositivo diferencial residual de 25 A x 30 mA - 4 polos</t>
  </si>
  <si>
    <t>37.20.080</t>
  </si>
  <si>
    <t>Barra de neutro e/ou terra</t>
  </si>
  <si>
    <t>38.01.060</t>
  </si>
  <si>
    <t>Eletroduto de PVC rígido roscável de 1´ - com acessórios</t>
  </si>
  <si>
    <t>39.02.010</t>
  </si>
  <si>
    <t>Cabo de cobre de 1,5 mm², isolamento 750 V - isolação em PVC 70°C</t>
  </si>
  <si>
    <t>39.02.030</t>
  </si>
  <si>
    <t>Cabo de cobre de 6 mm², isolamento 750 V - isolação em PVC 70°C</t>
  </si>
  <si>
    <t>SEM CÓDIGO</t>
  </si>
  <si>
    <t>40.06.510</t>
  </si>
  <si>
    <t>Condulete em PVC de 1´ - com tampa</t>
  </si>
  <si>
    <t>40.07.020</t>
  </si>
  <si>
    <t>Caixa em PVC de 4´ x 4´</t>
  </si>
  <si>
    <t>37.13.630</t>
  </si>
  <si>
    <t>Disjuntor termomagnético, bipolar 220/380 V, corrente de 10 A até 50 A</t>
  </si>
  <si>
    <t>37.13.640</t>
  </si>
  <si>
    <t>Disjuntor termomagnético, bipolar 220/380 V, corrente de 60 A até 100 A</t>
  </si>
  <si>
    <t>40.05.020</t>
  </si>
  <si>
    <t>Interruptor com 1 tecla simples e placa</t>
  </si>
  <si>
    <t>Barramento tipo pente bifásico 6 pólos</t>
  </si>
  <si>
    <t>37.24.032</t>
  </si>
  <si>
    <t>Supressor de surto monofásico, Fase-Terra, In &gt; ou = 20 kA, Imax. de surto de 50 até 80 Ka</t>
  </si>
  <si>
    <t>B.01.000.010115</t>
  </si>
  <si>
    <t>Eletricista</t>
  </si>
  <si>
    <t>h</t>
  </si>
  <si>
    <t>B.01.000.010116</t>
  </si>
  <si>
    <t>36.03.020</t>
  </si>
  <si>
    <t>Caixa de medição polifásica (500 x 600 x 200) mm, padrão concessionárias</t>
  </si>
  <si>
    <t>39.21.236</t>
  </si>
  <si>
    <t>Cabo de cobre flexível de 3 x 25 mm², isolamento 0,6/1 kV - isolação HEPR 90°C</t>
  </si>
  <si>
    <t>36.05.010</t>
  </si>
  <si>
    <t>Isolador tipo roldana para baixa tensão de 76 x 79 mm</t>
  </si>
  <si>
    <t>68.01.730</t>
  </si>
  <si>
    <t>Poste de concreto circular, 400 kg, H = 9,00 m</t>
  </si>
  <si>
    <t>37.14.410</t>
  </si>
  <si>
    <t>Chave seccionadora sob carga, tripolar, acionamento rotativo, com prolongador e porta-fusível até NH-00-125 A - sem fusíveis</t>
  </si>
  <si>
    <t>37.12.020</t>
  </si>
  <si>
    <t>Fusível tipo NH 00 de 6 A até 160 A</t>
  </si>
  <si>
    <t>O.25.000.000103</t>
  </si>
  <si>
    <t>Luva Dupla em polipropileno de alta resistência - PP,  preto,  DN= 50mm, ref. Duratop da Tecnofluidos ou equivalente.</t>
  </si>
  <si>
    <t>3.5</t>
  </si>
  <si>
    <t>11.18.160</t>
  </si>
  <si>
    <t>Enchimento de nichos em geral, com areia</t>
  </si>
  <si>
    <t>46.01.020</t>
  </si>
  <si>
    <t>Tubo de PVC rígido soldável marrom, DN= 25 mm, (3/4´), inclusive conexões</t>
  </si>
  <si>
    <t>Ajudante Eletricista</t>
  </si>
  <si>
    <t>17.02.020</t>
  </si>
  <si>
    <t>Chapisco</t>
  </si>
  <si>
    <t>17.02.140</t>
  </si>
  <si>
    <t>Emboço desempenado com espuma de poliéster</t>
  </si>
  <si>
    <t>23.02.050</t>
  </si>
  <si>
    <t>Porta macho e fêmea com batente de madeira - 90 x 210 cm</t>
  </si>
  <si>
    <t>23.02.030</t>
  </si>
  <si>
    <t>Porta macho e fêmea com batente de madeira - 70 x 210 cm</t>
  </si>
  <si>
    <t>28.01.040</t>
  </si>
  <si>
    <t>Ferragem completa com maçaneta tipo alavanca, para porta interna com 1 folha</t>
  </si>
  <si>
    <t>33.05.010</t>
  </si>
  <si>
    <t>33.02.080</t>
  </si>
  <si>
    <t>Massa corrida à base de resina acrílica</t>
  </si>
  <si>
    <t>33.10.030</t>
  </si>
  <si>
    <t>Tinta acrílica antimofo em massa, inclusive preparo</t>
  </si>
  <si>
    <t>18.11.042</t>
  </si>
  <si>
    <t>Revestimento em placa cerâmica esmaltada de 20x20 cm, tipo monocolor, assentado e rejuntado com argamassa industrializada</t>
  </si>
  <si>
    <t>4.4</t>
  </si>
  <si>
    <t>8.1</t>
  </si>
  <si>
    <t>8.2</t>
  </si>
  <si>
    <t>8.3</t>
  </si>
  <si>
    <t>1.7</t>
  </si>
  <si>
    <t>04.03.040</t>
  </si>
  <si>
    <t>Retirada de telhamento perfil e material qualquer, exceto barro</t>
  </si>
  <si>
    <t>04.02.110</t>
  </si>
  <si>
    <t>Retirada de estrutura em madeira pontaletada - telhas perfil qualquer</t>
  </si>
  <si>
    <t>03.01.040</t>
  </si>
  <si>
    <t>Demolição manual de concreto armado</t>
  </si>
  <si>
    <t>03.02.020</t>
  </si>
  <si>
    <t>Demolição manual de alvenaria de fundação/embasamento</t>
  </si>
  <si>
    <t>Guarita G3</t>
  </si>
  <si>
    <t>Guarita G1</t>
  </si>
  <si>
    <t>33.10.010</t>
  </si>
  <si>
    <t>Tinta látex antimofo em massa, inclusive preparo</t>
  </si>
  <si>
    <t>33.02.060</t>
  </si>
  <si>
    <t>Massa corrida a base de PVA</t>
  </si>
  <si>
    <t>8.4</t>
  </si>
  <si>
    <t>9.1</t>
  </si>
  <si>
    <t>9.2</t>
  </si>
  <si>
    <t>Hidráulica</t>
  </si>
  <si>
    <t>44.20.060</t>
  </si>
  <si>
    <t>Recolocação de aparelhos sanitários, incluindo acessórios</t>
  </si>
  <si>
    <t>44.20.300</t>
  </si>
  <si>
    <t>Bolsa para bacia sanitária</t>
  </si>
  <si>
    <t>04.11.020</t>
  </si>
  <si>
    <t>Retirada de aparelho sanitário incluindo acessórios</t>
  </si>
  <si>
    <t>42.05.190</t>
  </si>
  <si>
    <t>Haste de aterramento de 3/4´ x 3,00 m</t>
  </si>
  <si>
    <t>42.05.140</t>
  </si>
  <si>
    <t>Conector olhal cabo/haste de 3/4´</t>
  </si>
  <si>
    <t>42.05.310</t>
  </si>
  <si>
    <t>Caixa de inspeção do terra cilíndrica em PVC rígido, diâmetro de 300 mm - h= 250 mm</t>
  </si>
  <si>
    <t>42.05.300</t>
  </si>
  <si>
    <t>Tampa para caixa de inspeção cilíndrica, aço galvanizado</t>
  </si>
  <si>
    <t>39.21.020</t>
  </si>
  <si>
    <t>Cabo de cobre flexível de 2,5 mm², isolamento 0,6/1kV - isolação HEPR 90°C</t>
  </si>
  <si>
    <t>10.1</t>
  </si>
  <si>
    <t>10.2</t>
  </si>
  <si>
    <t>10.3</t>
  </si>
  <si>
    <t>8.5</t>
  </si>
  <si>
    <t>8.6</t>
  </si>
  <si>
    <t>8.7</t>
  </si>
  <si>
    <t>8.8</t>
  </si>
  <si>
    <t>8.9</t>
  </si>
  <si>
    <t>8.10</t>
  </si>
  <si>
    <t>8.11</t>
  </si>
  <si>
    <t>8.12</t>
  </si>
  <si>
    <t>16.02.010</t>
  </si>
  <si>
    <t>Telha de barro tipo italiana</t>
  </si>
  <si>
    <t>16.02.230</t>
  </si>
  <si>
    <t>Cumeeira de barro emboçado tipos: plan, romana, italiana, francesa e paulistinha</t>
  </si>
  <si>
    <t>17.02.120</t>
  </si>
  <si>
    <t>Emboço comum</t>
  </si>
  <si>
    <t>04.11.120</t>
  </si>
  <si>
    <t>Retirada de torneira ou chuveiro</t>
  </si>
  <si>
    <t>Verniz fungicida para madeira - Portas</t>
  </si>
  <si>
    <t xml:space="preserve">Verniz fungicida para madeira </t>
  </si>
  <si>
    <t>03.02.040</t>
  </si>
  <si>
    <t>Demolição manual de alvenaria de elevação ou elemento vazado, incluindo revestimento</t>
  </si>
  <si>
    <t>DEMONSTRATIVO DE COMPOSIÇÃO DO BDI</t>
  </si>
  <si>
    <t>Componentes do BDI indicado pelo Acordão TCU-Plenario nº2622/2013 para obras de "Construção de edificios"</t>
  </si>
  <si>
    <t>Quartil a ser adotado</t>
  </si>
  <si>
    <t>Descrição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</si>
  <si>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</si>
  <si>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</si>
  <si>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</si>
  <si>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</si>
  <si>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</si>
  <si>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Despesas Financeiras</t>
  </si>
  <si>
    <t>PARCELAS RELATIVAS A SEGUROS, RISCOS E GARANTIAS DE OBRA</t>
  </si>
  <si>
    <t>Seguros + Garantias</t>
  </si>
  <si>
    <t>Riscos</t>
  </si>
  <si>
    <t>PARCELAS RELATIVAS À INCIDENCIA DE TRIBUTOS</t>
  </si>
  <si>
    <t>5.1</t>
  </si>
  <si>
    <t>Imposto sobre Serviços - ISS</t>
  </si>
  <si>
    <t>Inserir aliquota do Municipio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</si>
  <si>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</si>
  <si>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</si>
  <si>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</si>
  <si>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</si>
  <si>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</si>
  <si>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</si>
  <si>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r>
      <t xml:space="preserve">BDI = </t>
    </r>
    <r>
      <rPr>
        <u/>
        <sz val="11"/>
        <color theme="1"/>
        <rFont val="Calibri"/>
        <family val="2"/>
        <scheme val="minor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</si>
  <si>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t>(1-("5.1"+"5.2"+"5.3"+"5.4"))</t>
  </si>
  <si>
    <r>
      <rPr>
        <b/>
        <sz val="14"/>
        <color theme="1"/>
        <rFont val="Calibri"/>
        <family val="2"/>
        <scheme val="minor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</si>
  <si>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</si>
  <si>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</si>
  <si>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</si>
  <si>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rPr>
        <b/>
        <sz val="14"/>
        <color theme="1"/>
        <rFont val="Calibri"/>
        <family val="2"/>
        <scheme val="minor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</si>
  <si>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Combate a Incêndio</t>
  </si>
  <si>
    <t>15.01.310</t>
  </si>
  <si>
    <t>Estrutura em terças para telhas de barro</t>
  </si>
  <si>
    <t>Alvenaria</t>
  </si>
  <si>
    <t>14.04.210</t>
  </si>
  <si>
    <t>Alvenaria de bloco cerâmico de vedação, uso revestido, de 14 cm</t>
  </si>
  <si>
    <t>Estrutura</t>
  </si>
  <si>
    <t>09.01.030</t>
  </si>
  <si>
    <t>Forma em madeira comum para estrutura</t>
  </si>
  <si>
    <t>11.03.090</t>
  </si>
  <si>
    <t>Concreto preparado no local, fck = 20,0 MPa</t>
  </si>
  <si>
    <t>11.16.060</t>
  </si>
  <si>
    <t>Lançamento e adensamento de concreto ou massa em estrutura</t>
  </si>
  <si>
    <t>10.01.040</t>
  </si>
  <si>
    <t>Armadura em barra de aço CA-50 (A ou B) fyk = 500 MPa</t>
  </si>
  <si>
    <t>kg</t>
  </si>
  <si>
    <t>02.02.160</t>
  </si>
  <si>
    <t>Locação de container tipo guarita - área mínima de 4,60 m²</t>
  </si>
  <si>
    <t>04.02.030</t>
  </si>
  <si>
    <t>Retirada de peças lineares em madeira com seção superior a 60 cm²</t>
  </si>
  <si>
    <t>46.01.010</t>
  </si>
  <si>
    <t>Tubo de PVC rígido soldável marrom, DN= 20 mm, (1/2´), inclusive conexões</t>
  </si>
  <si>
    <t>43.02.080</t>
  </si>
  <si>
    <t>Chuveiro elétrico de 6.500W / 220V com resistência blindada</t>
  </si>
  <si>
    <t>44.03.080</t>
  </si>
  <si>
    <t>Porta-papel de louça de embutir</t>
  </si>
  <si>
    <t>44.03.130</t>
  </si>
  <si>
    <t>Saboneteira tipo dispenser, para refil de 800 ml</t>
  </si>
  <si>
    <t>44.03.460</t>
  </si>
  <si>
    <t>Torneira para lavatório em latão fundido cromado, DN= 1/2´</t>
  </si>
  <si>
    <t>Revestimento externo</t>
  </si>
  <si>
    <t>05.09.008</t>
  </si>
  <si>
    <t>Transporte e taxa de destinação de resíduo sólido em aterro, tipo telhas cimento amianto</t>
  </si>
  <si>
    <t>t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</si>
  <si>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</si>
  <si>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</si>
  <si>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</si>
  <si>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</si>
  <si>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</si>
  <si>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</si>
  <si>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</si>
  <si>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</si>
  <si>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</si>
  <si>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11.1</t>
  </si>
  <si>
    <t>12.1</t>
  </si>
  <si>
    <t>11.2</t>
  </si>
  <si>
    <t>12.2</t>
  </si>
  <si>
    <t>12.3</t>
  </si>
  <si>
    <t>10.4</t>
  </si>
  <si>
    <t>10.5</t>
  </si>
  <si>
    <t>10.6</t>
  </si>
  <si>
    <t>10.7</t>
  </si>
  <si>
    <t>10.8</t>
  </si>
  <si>
    <t>10.9</t>
  </si>
  <si>
    <t>10.10</t>
  </si>
  <si>
    <t>10.11</t>
  </si>
  <si>
    <t>9.3</t>
  </si>
  <si>
    <t>9.4</t>
  </si>
  <si>
    <t>9.5</t>
  </si>
  <si>
    <t>9.6</t>
  </si>
  <si>
    <t>Demolição e retirada</t>
  </si>
  <si>
    <t>01.17.071</t>
  </si>
  <si>
    <t>Projeto executivo de instalações hidráulicas em formato A1</t>
  </si>
  <si>
    <t>03.04.020</t>
  </si>
  <si>
    <t>Demolição manual de revestimento cerâmico, incluindo a base</t>
  </si>
  <si>
    <t>1.9</t>
  </si>
  <si>
    <t>01.23.222</t>
  </si>
  <si>
    <t>Furação para 12,5mm x 100mm em concreto armado, inclusive colagem de armadura (barra de Ø 10mm)</t>
  </si>
  <si>
    <t>5.5</t>
  </si>
  <si>
    <t>5.6</t>
  </si>
  <si>
    <t>5.7</t>
  </si>
  <si>
    <t>5.8</t>
  </si>
  <si>
    <t>5.9</t>
  </si>
  <si>
    <t>5.10</t>
  </si>
  <si>
    <t>5.11</t>
  </si>
  <si>
    <t>5.12</t>
  </si>
  <si>
    <t>6.1</t>
  </si>
  <si>
    <t>6.2</t>
  </si>
  <si>
    <t>6.3</t>
  </si>
  <si>
    <t>6.4</t>
  </si>
  <si>
    <t>6.5</t>
  </si>
  <si>
    <t>6.6</t>
  </si>
  <si>
    <t>7.1</t>
  </si>
  <si>
    <t>7.2</t>
  </si>
  <si>
    <t>7.3</t>
  </si>
  <si>
    <t>7.4</t>
  </si>
  <si>
    <t>44.03.180</t>
  </si>
  <si>
    <t>Dispenser toalheiro em ABS, para folhas</t>
  </si>
  <si>
    <t>10.12</t>
  </si>
  <si>
    <t>44.20.110</t>
  </si>
  <si>
    <t>Engate flexível de PVC DN= 1/2´</t>
  </si>
  <si>
    <t>44.20.280</t>
  </si>
  <si>
    <t>Tampa de plástico para bacia sanitária</t>
  </si>
  <si>
    <t>10.13</t>
  </si>
  <si>
    <t>44.20.240</t>
  </si>
  <si>
    <t>Sifão plástico com copo, rígido, de 1´ x 1 1/2´</t>
  </si>
  <si>
    <t>9.7</t>
  </si>
  <si>
    <t>9.8</t>
  </si>
  <si>
    <t>Luminária LED Hermética tubular IP65 - corpo e presilhas em PVC</t>
  </si>
  <si>
    <t>41.02.541</t>
  </si>
  <si>
    <t>Lâmpada LED tubular T8 com base G13, de 900 até 1050 Im - 9 a 10W</t>
  </si>
  <si>
    <t>41.02.551</t>
  </si>
  <si>
    <t>Lâmpada LED tubular T8 com base G13, de 1850 até 2000 Im - 18 a 20W</t>
  </si>
  <si>
    <t>8.22</t>
  </si>
  <si>
    <t>8.23</t>
  </si>
  <si>
    <t>46.01.030</t>
  </si>
  <si>
    <t>Tubo de PVC rígido soldável marrom, DN= 32 mm, (1´), inclusive conexões</t>
  </si>
  <si>
    <t>46.01.050</t>
  </si>
  <si>
    <t>Tubo de PVC rígido soldável marrom, DN= 50 mm, (1 1/2´), inclusive conexões</t>
  </si>
  <si>
    <t>22.01.210</t>
  </si>
  <si>
    <t>Testeira em tábua aparelhada, largura até 20 cm</t>
  </si>
  <si>
    <t>33.11.050</t>
  </si>
  <si>
    <t>Esmalte à base água em superfície metálica, inclusive preparo - grade das janelas</t>
  </si>
  <si>
    <t>11.3</t>
  </si>
  <si>
    <t>18.06.022</t>
  </si>
  <si>
    <t>Placa cerâmica esmaltada PEI-4 para área interna, grupo de absorção BIIa, resistência química A, assentado com argamassa colante industrializada</t>
  </si>
  <si>
    <t>18.06.023</t>
  </si>
  <si>
    <t>Rodapé em placa cerâmica esmaltada PEI-4 para áreas internas, grupo de absorção BIIa, resistência química A, assentado com argamassa colante industrializada</t>
  </si>
  <si>
    <t>10.14</t>
  </si>
  <si>
    <t>10.15</t>
  </si>
  <si>
    <t>17.01.020</t>
  </si>
  <si>
    <t>Argamassa de regularização e/ou proteção</t>
  </si>
  <si>
    <t>7.5</t>
  </si>
  <si>
    <t>03.10.140</t>
  </si>
  <si>
    <t>Remoção de pintura em massa com lixamento</t>
  </si>
  <si>
    <t>1.10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</si>
</sst>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 * #,##0.00_)\ _R_$_ ;_ * \(#,##0.00\)\ _R_$_ ;_ * &quot;-&quot;??_)\ _R_$_ ;_ @_ 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Ecofont Vera Sans"/>
      <family val="2"/>
    </font>
    <font>
      <sz val="11"/>
      <color theme="1"/>
      <name val="Ecofont Vera Sans"/>
      <family val="2"/>
    </font>
    <font>
      <sz val="11"/>
      <name val="Ecofont Vera Sans"/>
      <family val="2"/>
    </font>
    <font>
      <sz val="10"/>
      <name val="Ecofont Vera Sans"/>
      <family val="2"/>
    </font>
    <font>
      <sz val="8"/>
      <name val="Ecofont Vera Sans"/>
      <family val="2"/>
    </font>
    <font>
      <b/>
      <sz val="10"/>
      <name val="Ecofont Vera Sans"/>
      <family val="2"/>
    </font>
    <font>
      <b/>
      <sz val="11"/>
      <color theme="1"/>
      <name val="Ecofont Vera Sans"/>
      <family val="2"/>
    </font>
    <font>
      <sz val="11"/>
      <color indexed="8"/>
      <name val="Ecofont Vera Sans"/>
      <family val="2"/>
    </font>
    <font>
      <b/>
      <sz val="11"/>
      <color indexed="8"/>
      <name val="Ecofont Vera Sans"/>
      <family val="2"/>
    </font>
    <font>
      <sz val="11"/>
      <color indexed="8"/>
      <name val="Calibri"/>
      <family val="2"/>
      <scheme val="minor"/>
    </font>
    <font>
      <sz val="10"/>
      <color indexed="8"/>
      <name val="Ecofont Vera Sans"/>
      <family val="2"/>
    </font>
    <font>
      <b/>
      <sz val="9"/>
      <name val="Ecofont Vera Sans"/>
      <family val="2"/>
    </font>
    <font>
      <sz val="9"/>
      <name val="Ecofont Vera Sans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darkTrellis"/>
    </fill>
  </fills>
  <borders count="52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2" fillId="0" borderId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</cellStyleXfs>
  <cellXfs count="219">
    <xf numFmtId="0" fontId="0" fillId="0" borderId="0" xfId="0"/>
    <xf numFmtId="0" fontId="3" fillId="0" borderId="0" xfId="0" applyFont="1"/>
    <xf numFmtId="43" fontId="2" fillId="2" borderId="9" xfId="0" applyNumberFormat="1" applyFont="1" applyFill="1" applyBorder="1" applyAlignment="1">
      <alignment horizontal="center" vertical="center"/>
    </xf>
    <xf numFmtId="164" fontId="2" fillId="2" borderId="10" xfId="0" applyNumberFormat="1" applyFont="1" applyFill="1" applyBorder="1" applyAlignment="1">
      <alignment horizontal="center" vertical="center"/>
    </xf>
    <xf numFmtId="43" fontId="2" fillId="0" borderId="11" xfId="1" applyFont="1" applyFill="1" applyBorder="1" applyAlignment="1">
      <alignment horizontal="left" vertical="center"/>
    </xf>
    <xf numFmtId="43" fontId="2" fillId="0" borderId="12" xfId="1" applyFont="1" applyFill="1" applyBorder="1" applyAlignment="1">
      <alignment horizontal="left" vertical="center"/>
    </xf>
    <xf numFmtId="43" fontId="2" fillId="0" borderId="13" xfId="1" applyFont="1" applyFill="1" applyBorder="1" applyAlignment="1">
      <alignment horizontal="left" vertical="center"/>
    </xf>
    <xf numFmtId="43" fontId="2" fillId="0" borderId="16" xfId="1" applyFont="1" applyFill="1" applyBorder="1" applyAlignment="1">
      <alignment horizontal="left" vertical="center"/>
    </xf>
    <xf numFmtId="43" fontId="2" fillId="0" borderId="18" xfId="1" applyFont="1" applyFill="1" applyBorder="1" applyAlignment="1">
      <alignment horizontal="left" vertical="center"/>
    </xf>
    <xf numFmtId="43" fontId="2" fillId="0" borderId="19" xfId="1" applyFont="1" applyFill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 wrapText="1"/>
    </xf>
    <xf numFmtId="43" fontId="2" fillId="0" borderId="25" xfId="1" applyFont="1" applyBorder="1" applyAlignment="1">
      <alignment horizontal="left" vertical="center" wrapText="1"/>
    </xf>
    <xf numFmtId="43" fontId="4" fillId="4" borderId="25" xfId="1" applyNumberFormat="1" applyFont="1" applyFill="1" applyBorder="1" applyAlignment="1">
      <alignment horizontal="right" vertical="center"/>
    </xf>
    <xf numFmtId="164" fontId="2" fillId="0" borderId="25" xfId="2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3" fontId="3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left" vertical="center"/>
    </xf>
    <xf numFmtId="4" fontId="2" fillId="2" borderId="29" xfId="0" applyNumberFormat="1" applyFont="1" applyFill="1" applyBorder="1" applyAlignment="1">
      <alignment horizontal="right" vertical="center"/>
    </xf>
    <xf numFmtId="0" fontId="2" fillId="2" borderId="35" xfId="0" applyFont="1" applyFill="1" applyBorder="1" applyAlignment="1">
      <alignment horizontal="left" vertical="center"/>
    </xf>
    <xf numFmtId="4" fontId="2" fillId="2" borderId="39" xfId="0" applyNumberFormat="1" applyFont="1" applyFill="1" applyBorder="1" applyAlignment="1">
      <alignment horizontal="right" vertical="center"/>
    </xf>
    <xf numFmtId="0" fontId="2" fillId="2" borderId="37" xfId="0" applyFont="1" applyFill="1" applyBorder="1" applyAlignment="1">
      <alignment horizontal="left" vertical="center"/>
    </xf>
    <xf numFmtId="4" fontId="2" fillId="2" borderId="40" xfId="0" applyNumberFormat="1" applyFont="1" applyFill="1" applyBorder="1" applyAlignment="1">
      <alignment horizontal="right" vertical="center"/>
    </xf>
    <xf numFmtId="0" fontId="0" fillId="4" borderId="0" xfId="0" applyFont="1" applyFill="1"/>
    <xf numFmtId="0" fontId="5" fillId="4" borderId="33" xfId="0" applyFont="1" applyFill="1" applyBorder="1" applyAlignment="1">
      <alignment vertical="center"/>
    </xf>
    <xf numFmtId="0" fontId="6" fillId="4" borderId="34" xfId="0" applyFont="1" applyFill="1" applyBorder="1" applyAlignment="1">
      <alignment vertical="center"/>
    </xf>
    <xf numFmtId="0" fontId="0" fillId="4" borderId="0" xfId="0" applyFill="1"/>
    <xf numFmtId="0" fontId="5" fillId="4" borderId="35" xfId="0" applyFont="1" applyFill="1" applyBorder="1" applyAlignment="1">
      <alignment vertical="center"/>
    </xf>
    <xf numFmtId="0" fontId="6" fillId="4" borderId="36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5" fillId="4" borderId="37" xfId="0" applyFont="1" applyFill="1" applyBorder="1" applyAlignment="1">
      <alignment vertical="center"/>
    </xf>
    <xf numFmtId="0" fontId="6" fillId="4" borderId="38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22" xfId="0" applyFont="1" applyFill="1" applyBorder="1" applyAlignment="1">
      <alignment vertical="center" wrapText="1"/>
    </xf>
    <xf numFmtId="43" fontId="4" fillId="4" borderId="29" xfId="1" applyFont="1" applyFill="1" applyBorder="1" applyAlignment="1">
      <alignment horizontal="left" wrapText="1"/>
    </xf>
    <xf numFmtId="0" fontId="2" fillId="4" borderId="0" xfId="0" applyFont="1" applyFill="1" applyBorder="1" applyAlignment="1">
      <alignment vertical="center" wrapText="1"/>
    </xf>
    <xf numFmtId="43" fontId="2" fillId="4" borderId="0" xfId="1" applyFont="1" applyFill="1" applyBorder="1" applyAlignment="1">
      <alignment vertical="center" wrapText="1"/>
    </xf>
    <xf numFmtId="0" fontId="2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43" fontId="2" fillId="2" borderId="18" xfId="1" applyNumberFormat="1" applyFont="1" applyFill="1" applyBorder="1" applyAlignment="1">
      <alignment horizontal="center" vertical="center" wrapText="1"/>
    </xf>
    <xf numFmtId="43" fontId="8" fillId="2" borderId="19" xfId="1" applyNumberFormat="1" applyFont="1" applyFill="1" applyBorder="1" applyAlignment="1">
      <alignment horizontal="center" vertical="center"/>
    </xf>
    <xf numFmtId="0" fontId="2" fillId="3" borderId="16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3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vertical="center" wrapText="1"/>
    </xf>
    <xf numFmtId="0" fontId="9" fillId="3" borderId="23" xfId="0" applyFont="1" applyFill="1" applyBorder="1" applyAlignment="1">
      <alignment horizontal="center" vertical="center" wrapText="1"/>
    </xf>
    <xf numFmtId="43" fontId="9" fillId="3" borderId="23" xfId="1" applyNumberFormat="1" applyFont="1" applyFill="1" applyBorder="1" applyAlignment="1">
      <alignment vertical="center" wrapText="1"/>
    </xf>
    <xf numFmtId="43" fontId="9" fillId="3" borderId="42" xfId="1" applyNumberFormat="1" applyFont="1" applyFill="1" applyBorder="1" applyAlignment="1">
      <alignment vertical="center" wrapText="1"/>
    </xf>
    <xf numFmtId="43" fontId="10" fillId="3" borderId="24" xfId="1" applyNumberFormat="1" applyFont="1" applyFill="1" applyBorder="1" applyAlignment="1">
      <alignment vertical="center" wrapText="1"/>
    </xf>
    <xf numFmtId="0" fontId="4" fillId="0" borderId="16" xfId="0" applyNumberFormat="1" applyFont="1" applyFill="1" applyBorder="1" applyAlignment="1" applyProtection="1">
      <alignment horizontal="left" vertical="center" wrapText="1"/>
      <protection locked="0"/>
    </xf>
    <xf numFmtId="43" fontId="9" fillId="5" borderId="18" xfId="4" applyFont="1" applyFill="1" applyBorder="1" applyAlignment="1">
      <alignment horizontal="center" vertical="center" wrapText="1"/>
    </xf>
    <xf numFmtId="43" fontId="9" fillId="5" borderId="18" xfId="4" applyFont="1" applyFill="1" applyBorder="1" applyAlignment="1">
      <alignment horizontal="right" vertical="center" wrapText="1"/>
    </xf>
    <xf numFmtId="43" fontId="4" fillId="0" borderId="19" xfId="1" applyNumberFormat="1" applyFont="1" applyFill="1" applyBorder="1" applyAlignment="1">
      <alignment vertical="center" wrapText="1"/>
    </xf>
    <xf numFmtId="0" fontId="9" fillId="5" borderId="18" xfId="3" applyFont="1" applyFill="1" applyBorder="1" applyAlignment="1">
      <alignment horizontal="center" vertical="center" wrapText="1"/>
    </xf>
    <xf numFmtId="0" fontId="9" fillId="5" borderId="18" xfId="3" applyFont="1" applyFill="1" applyBorder="1" applyAlignment="1">
      <alignment horizontal="left" vertical="center" wrapText="1"/>
    </xf>
    <xf numFmtId="43" fontId="9" fillId="0" borderId="18" xfId="0" applyNumberFormat="1" applyFont="1" applyBorder="1" applyAlignment="1">
      <alignment vertical="center"/>
    </xf>
    <xf numFmtId="0" fontId="4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4" fillId="0" borderId="24" xfId="1" applyNumberFormat="1" applyFont="1" applyFill="1" applyBorder="1" applyAlignment="1">
      <alignment vertical="center" wrapText="1"/>
    </xf>
    <xf numFmtId="2" fontId="9" fillId="0" borderId="23" xfId="3" applyNumberFormat="1" applyFont="1" applyBorder="1" applyAlignment="1">
      <alignment horizontal="center" vertical="center"/>
    </xf>
    <xf numFmtId="2" fontId="9" fillId="0" borderId="23" xfId="3" applyNumberFormat="1" applyFont="1" applyBorder="1" applyAlignment="1">
      <alignment vertical="center" wrapText="1"/>
    </xf>
    <xf numFmtId="43" fontId="9" fillId="0" borderId="23" xfId="4" applyNumberFormat="1" applyFont="1" applyBorder="1" applyAlignment="1">
      <alignment vertical="center"/>
    </xf>
    <xf numFmtId="0" fontId="3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3" fontId="3" fillId="2" borderId="2" xfId="0" applyNumberFormat="1" applyFont="1" applyFill="1" applyBorder="1" applyAlignment="1">
      <alignment vertical="center"/>
    </xf>
    <xf numFmtId="43" fontId="8" fillId="2" borderId="26" xfId="0" applyNumberFormat="1" applyFont="1" applyFill="1" applyBorder="1" applyAlignment="1">
      <alignment vertical="center"/>
    </xf>
    <xf numFmtId="43" fontId="8" fillId="2" borderId="32" xfId="0" applyNumberFormat="1" applyFont="1" applyFill="1" applyBorder="1" applyAlignment="1">
      <alignment vertical="center"/>
    </xf>
    <xf numFmtId="0" fontId="3" fillId="2" borderId="43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43" fontId="3" fillId="2" borderId="17" xfId="0" applyNumberFormat="1" applyFont="1" applyFill="1" applyBorder="1" applyAlignment="1">
      <alignment vertical="center"/>
    </xf>
    <xf numFmtId="43" fontId="8" fillId="2" borderId="44" xfId="0" applyNumberFormat="1" applyFont="1" applyFill="1" applyBorder="1" applyAlignment="1">
      <alignment vertical="center"/>
    </xf>
    <xf numFmtId="43" fontId="8" fillId="2" borderId="45" xfId="0" applyNumberFormat="1" applyFont="1" applyFill="1" applyBorder="1" applyAlignment="1">
      <alignment vertical="center"/>
    </xf>
    <xf numFmtId="0" fontId="3" fillId="2" borderId="22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43" fontId="3" fillId="2" borderId="23" xfId="0" applyNumberFormat="1" applyFont="1" applyFill="1" applyBorder="1" applyAlignment="1">
      <alignment vertical="center"/>
    </xf>
    <xf numFmtId="43" fontId="8" fillId="2" borderId="28" xfId="0" applyNumberFormat="1" applyFont="1" applyFill="1" applyBorder="1" applyAlignment="1">
      <alignment vertical="center"/>
    </xf>
    <xf numFmtId="43" fontId="8" fillId="2" borderId="24" xfId="0" applyNumberFormat="1" applyFont="1" applyFill="1" applyBorder="1" applyAlignment="1">
      <alignment vertical="center"/>
    </xf>
    <xf numFmtId="0" fontId="3" fillId="2" borderId="7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43" fontId="3" fillId="2" borderId="6" xfId="0" applyNumberFormat="1" applyFont="1" applyFill="1" applyBorder="1" applyAlignment="1">
      <alignment vertical="center"/>
    </xf>
    <xf numFmtId="0" fontId="12" fillId="0" borderId="42" xfId="3" applyFont="1" applyBorder="1" applyAlignment="1">
      <alignment horizontal="center" vertical="center"/>
    </xf>
    <xf numFmtId="0" fontId="12" fillId="0" borderId="42" xfId="3" applyFont="1" applyBorder="1" applyAlignment="1">
      <alignment horizontal="left" vertical="center" wrapText="1"/>
    </xf>
    <xf numFmtId="0" fontId="12" fillId="0" borderId="18" xfId="3" applyFont="1" applyBorder="1" applyAlignment="1">
      <alignment horizontal="center" vertical="center" wrapText="1"/>
    </xf>
    <xf numFmtId="0" fontId="12" fillId="0" borderId="18" xfId="3" applyFont="1" applyBorder="1" applyAlignment="1">
      <alignment horizontal="right" vertical="center"/>
    </xf>
    <xf numFmtId="0" fontId="12" fillId="5" borderId="18" xfId="3" applyFont="1" applyFill="1" applyBorder="1" applyAlignment="1">
      <alignment horizontal="center" vertical="center" wrapText="1"/>
    </xf>
    <xf numFmtId="0" fontId="12" fillId="5" borderId="28" xfId="3" applyFont="1" applyFill="1" applyBorder="1" applyAlignment="1">
      <alignment horizontal="left" vertical="center" wrapText="1"/>
    </xf>
    <xf numFmtId="43" fontId="12" fillId="5" borderId="18" xfId="4" applyFont="1" applyFill="1" applyBorder="1" applyAlignment="1">
      <alignment horizontal="center" vertical="center" wrapText="1"/>
    </xf>
    <xf numFmtId="43" fontId="12" fillId="5" borderId="18" xfId="4" applyFont="1" applyFill="1" applyBorder="1" applyAlignment="1">
      <alignment horizontal="right" vertical="center" wrapText="1"/>
    </xf>
    <xf numFmtId="43" fontId="4" fillId="2" borderId="3" xfId="1" applyNumberFormat="1" applyFont="1" applyFill="1" applyBorder="1" applyAlignment="1">
      <alignment vertical="center"/>
    </xf>
    <xf numFmtId="43" fontId="4" fillId="2" borderId="22" xfId="1" applyNumberFormat="1" applyFont="1" applyFill="1" applyBorder="1" applyAlignment="1">
      <alignment vertical="center"/>
    </xf>
    <xf numFmtId="43" fontId="2" fillId="2" borderId="7" xfId="1" applyNumberFormat="1" applyFont="1" applyFill="1" applyBorder="1" applyAlignment="1">
      <alignment vertical="center"/>
    </xf>
    <xf numFmtId="164" fontId="4" fillId="2" borderId="34" xfId="0" applyNumberFormat="1" applyFont="1" applyFill="1" applyBorder="1" applyAlignment="1">
      <alignment horizontal="center" vertical="center"/>
    </xf>
    <xf numFmtId="164" fontId="4" fillId="2" borderId="24" xfId="0" applyNumberFormat="1" applyFont="1" applyFill="1" applyBorder="1" applyAlignment="1">
      <alignment horizontal="center" vertical="center"/>
    </xf>
    <xf numFmtId="164" fontId="2" fillId="2" borderId="8" xfId="0" applyNumberFormat="1" applyFont="1" applyFill="1" applyBorder="1" applyAlignment="1">
      <alignment horizontal="center" vertical="center"/>
    </xf>
    <xf numFmtId="164" fontId="4" fillId="2" borderId="32" xfId="0" applyNumberFormat="1" applyFont="1" applyFill="1" applyBorder="1" applyAlignment="1">
      <alignment horizontal="center" vertical="center"/>
    </xf>
    <xf numFmtId="4" fontId="9" fillId="3" borderId="23" xfId="1" applyNumberFormat="1" applyFont="1" applyFill="1" applyBorder="1" applyAlignment="1">
      <alignment horizontal="right" vertical="center" wrapText="1"/>
    </xf>
    <xf numFmtId="2" fontId="9" fillId="3" borderId="23" xfId="1" applyNumberFormat="1" applyFont="1" applyFill="1" applyBorder="1" applyAlignment="1">
      <alignment horizontal="right" vertical="center" wrapText="1"/>
    </xf>
    <xf numFmtId="0" fontId="9" fillId="5" borderId="18" xfId="0" applyFont="1" applyFill="1" applyBorder="1" applyAlignment="1">
      <alignment horizontal="left" vertical="top" wrapText="1"/>
    </xf>
    <xf numFmtId="0" fontId="9" fillId="5" borderId="18" xfId="0" applyFont="1" applyFill="1" applyBorder="1" applyAlignment="1">
      <alignment horizontal="center" vertical="top" wrapText="1"/>
    </xf>
    <xf numFmtId="43" fontId="9" fillId="5" borderId="18" xfId="4" applyFont="1" applyFill="1" applyBorder="1" applyAlignment="1">
      <alignment horizontal="right" vertical="top" wrapText="1"/>
    </xf>
    <xf numFmtId="0" fontId="9" fillId="5" borderId="1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top" wrapText="1"/>
    </xf>
    <xf numFmtId="0" fontId="9" fillId="4" borderId="18" xfId="0" applyFont="1" applyFill="1" applyBorder="1" applyAlignment="1">
      <alignment horizontal="left" vertical="top" wrapText="1"/>
    </xf>
    <xf numFmtId="2" fontId="12" fillId="0" borderId="18" xfId="3" applyNumberFormat="1" applyFont="1" applyBorder="1" applyAlignment="1">
      <alignment horizontal="right" vertical="center"/>
    </xf>
    <xf numFmtId="0" fontId="9" fillId="5" borderId="28" xfId="3" applyFont="1" applyFill="1" applyBorder="1" applyAlignment="1">
      <alignment horizontal="left" vertical="center" wrapText="1"/>
    </xf>
    <xf numFmtId="0" fontId="18" fillId="4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 wrapText="1"/>
    </xf>
    <xf numFmtId="0" fontId="0" fillId="8" borderId="18" xfId="0" applyFill="1" applyBorder="1" applyAlignment="1">
      <alignment horizontal="center" vertical="center"/>
    </xf>
    <xf numFmtId="0" fontId="0" fillId="8" borderId="28" xfId="0" applyFill="1" applyBorder="1"/>
    <xf numFmtId="0" fontId="0" fillId="8" borderId="42" xfId="0" applyFill="1" applyBorder="1"/>
    <xf numFmtId="0" fontId="0" fillId="4" borderId="18" xfId="0" applyFill="1" applyBorder="1" applyAlignment="1">
      <alignment horizontal="center" vertical="center"/>
    </xf>
    <xf numFmtId="0" fontId="0" fillId="4" borderId="18" xfId="0" applyFill="1" applyBorder="1"/>
    <xf numFmtId="10" fontId="0" fillId="4" borderId="18" xfId="2" applyNumberFormat="1" applyFont="1" applyFill="1" applyBorder="1"/>
    <xf numFmtId="10" fontId="0" fillId="7" borderId="18" xfId="2" applyNumberFormat="1" applyFont="1" applyFill="1" applyBorder="1"/>
    <xf numFmtId="10" fontId="17" fillId="4" borderId="50" xfId="2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0" fillId="7" borderId="18" xfId="2" applyNumberFormat="1" applyFont="1" applyFill="1" applyBorder="1" applyAlignment="1">
      <alignment horizontal="center" vertical="center"/>
    </xf>
    <xf numFmtId="10" fontId="17" fillId="4" borderId="51" xfId="2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0" fontId="0" fillId="4" borderId="0" xfId="0" applyNumberFormat="1" applyFill="1"/>
    <xf numFmtId="10" fontId="3" fillId="0" borderId="0" xfId="0" applyNumberFormat="1" applyFont="1"/>
    <xf numFmtId="43" fontId="2" fillId="9" borderId="16" xfId="1" applyFont="1" applyFill="1" applyBorder="1" applyAlignment="1">
      <alignment horizontal="left" vertical="center"/>
    </xf>
    <xf numFmtId="10" fontId="3" fillId="10" borderId="0" xfId="0" applyNumberFormat="1" applyFont="1" applyFill="1" applyBorder="1" applyAlignment="1">
      <alignment vertical="center"/>
    </xf>
    <xf numFmtId="43" fontId="2" fillId="9" borderId="18" xfId="1" applyFont="1" applyFill="1" applyBorder="1" applyAlignment="1">
      <alignment horizontal="left" vertical="center"/>
    </xf>
    <xf numFmtId="43" fontId="2" fillId="9" borderId="19" xfId="1" applyFont="1" applyFill="1" applyBorder="1" applyAlignment="1">
      <alignment horizontal="left" vertical="center"/>
    </xf>
    <xf numFmtId="0" fontId="12" fillId="5" borderId="23" xfId="3" applyFont="1" applyFill="1" applyBorder="1" applyAlignment="1">
      <alignment horizontal="center" vertical="center" wrapText="1"/>
    </xf>
    <xf numFmtId="0" fontId="12" fillId="5" borderId="23" xfId="3" applyFont="1" applyFill="1" applyBorder="1" applyAlignment="1">
      <alignment horizontal="left" vertical="center" wrapText="1"/>
    </xf>
    <xf numFmtId="43" fontId="12" fillId="5" borderId="23" xfId="4" applyFont="1" applyFill="1" applyBorder="1" applyAlignment="1">
      <alignment horizontal="center" vertical="center" wrapText="1"/>
    </xf>
    <xf numFmtId="43" fontId="12" fillId="5" borderId="23" xfId="4" applyFont="1" applyFill="1" applyBorder="1" applyAlignment="1">
      <alignment horizontal="right" vertical="center" wrapText="1"/>
    </xf>
    <xf numFmtId="43" fontId="9" fillId="5" borderId="42" xfId="4" applyFont="1" applyFill="1" applyBorder="1" applyAlignment="1">
      <alignment horizontal="right" vertical="center" wrapText="1"/>
    </xf>
    <xf numFmtId="0" fontId="15" fillId="5" borderId="18" xfId="0" applyFont="1" applyFill="1" applyBorder="1" applyAlignment="1">
      <alignment horizontal="left" vertical="top" wrapText="1"/>
    </xf>
    <xf numFmtId="0" fontId="15" fillId="5" borderId="18" xfId="0" applyFont="1" applyFill="1" applyBorder="1" applyAlignment="1">
      <alignment horizontal="center" vertical="top" wrapText="1"/>
    </xf>
    <xf numFmtId="43" fontId="15" fillId="5" borderId="18" xfId="4" applyFont="1" applyFill="1" applyBorder="1" applyAlignment="1">
      <alignment horizontal="right" vertical="top" wrapText="1"/>
    </xf>
    <xf numFmtId="1" fontId="3" fillId="0" borderId="0" xfId="0" applyNumberFormat="1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21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43" fontId="4" fillId="0" borderId="20" xfId="1" applyNumberFormat="1" applyFont="1" applyFill="1" applyBorder="1" applyAlignment="1">
      <alignment horizontal="center" vertical="center"/>
    </xf>
    <xf numFmtId="43" fontId="4" fillId="0" borderId="11" xfId="1" applyNumberFormat="1" applyFont="1" applyFill="1" applyBorder="1" applyAlignment="1">
      <alignment horizontal="center" vertical="center"/>
    </xf>
    <xf numFmtId="164" fontId="5" fillId="0" borderId="21" xfId="2" applyNumberFormat="1" applyFont="1" applyBorder="1" applyAlignment="1">
      <alignment horizontal="center" vertical="center"/>
    </xf>
    <xf numFmtId="164" fontId="5" fillId="0" borderId="13" xfId="2" applyNumberFormat="1" applyFont="1" applyBorder="1" applyAlignment="1">
      <alignment horizontal="center" vertical="center"/>
    </xf>
    <xf numFmtId="43" fontId="2" fillId="0" borderId="22" xfId="1" applyFont="1" applyFill="1" applyBorder="1" applyAlignment="1">
      <alignment horizontal="center" vertical="center"/>
    </xf>
    <xf numFmtId="43" fontId="2" fillId="0" borderId="23" xfId="1" applyFont="1" applyFill="1" applyBorder="1" applyAlignment="1">
      <alignment horizontal="center" vertical="center"/>
    </xf>
    <xf numFmtId="43" fontId="2" fillId="0" borderId="24" xfId="1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0" fontId="2" fillId="3" borderId="0" xfId="0" applyFont="1" applyFill="1" applyBorder="1" applyAlignment="1">
      <alignment vertical="center"/>
    </xf>
    <xf numFmtId="0" fontId="2" fillId="3" borderId="17" xfId="0" applyFont="1" applyFill="1" applyBorder="1" applyAlignment="1">
      <alignment vertical="center"/>
    </xf>
    <xf numFmtId="43" fontId="2" fillId="3" borderId="46" xfId="1" applyNumberFormat="1" applyFont="1" applyFill="1" applyBorder="1" applyAlignment="1">
      <alignment horizontal="center" vertical="center"/>
    </xf>
    <xf numFmtId="43" fontId="2" fillId="3" borderId="11" xfId="1" applyNumberFormat="1" applyFont="1" applyFill="1" applyBorder="1" applyAlignment="1">
      <alignment horizontal="center" vertical="center"/>
    </xf>
    <xf numFmtId="164" fontId="2" fillId="3" borderId="47" xfId="2" applyNumberFormat="1" applyFont="1" applyFill="1" applyBorder="1" applyAlignment="1">
      <alignment horizontal="center" vertical="center"/>
    </xf>
    <xf numFmtId="164" fontId="2" fillId="3" borderId="13" xfId="2" applyNumberFormat="1" applyFont="1" applyFill="1" applyBorder="1" applyAlignment="1">
      <alignment horizontal="center" vertical="center"/>
    </xf>
    <xf numFmtId="10" fontId="14" fillId="3" borderId="16" xfId="2" applyNumberFormat="1" applyFont="1" applyFill="1" applyBorder="1" applyAlignment="1">
      <alignment horizontal="center" vertical="center"/>
    </xf>
    <xf numFmtId="10" fontId="14" fillId="3" borderId="18" xfId="2" applyNumberFormat="1" applyFont="1" applyFill="1" applyBorder="1" applyAlignment="1">
      <alignment horizontal="center" vertical="center"/>
    </xf>
    <xf numFmtId="10" fontId="14" fillId="3" borderId="19" xfId="2" applyNumberFormat="1" applyFont="1" applyFill="1" applyBorder="1" applyAlignment="1">
      <alignment horizontal="center" vertical="center"/>
    </xf>
    <xf numFmtId="10" fontId="13" fillId="3" borderId="16" xfId="2" applyNumberFormat="1" applyFont="1" applyFill="1" applyBorder="1" applyAlignment="1">
      <alignment horizontal="center" vertical="center"/>
    </xf>
    <xf numFmtId="10" fontId="13" fillId="3" borderId="18" xfId="2" applyNumberFormat="1" applyFont="1" applyFill="1" applyBorder="1" applyAlignment="1">
      <alignment horizontal="center" vertical="center"/>
    </xf>
    <xf numFmtId="10" fontId="13" fillId="3" borderId="19" xfId="2" applyNumberFormat="1" applyFont="1" applyFill="1" applyBorder="1" applyAlignment="1">
      <alignment horizontal="center" vertical="center"/>
    </xf>
    <xf numFmtId="43" fontId="4" fillId="2" borderId="22" xfId="0" applyNumberFormat="1" applyFont="1" applyFill="1" applyBorder="1" applyAlignment="1">
      <alignment horizontal="center" vertical="center"/>
    </xf>
    <xf numFmtId="43" fontId="4" fillId="2" borderId="23" xfId="0" applyNumberFormat="1" applyFont="1" applyFill="1" applyBorder="1" applyAlignment="1">
      <alignment horizontal="center" vertical="center"/>
    </xf>
    <xf numFmtId="43" fontId="4" fillId="2" borderId="24" xfId="0" applyNumberFormat="1" applyFont="1" applyFill="1" applyBorder="1" applyAlignment="1">
      <alignment horizontal="center" vertical="center"/>
    </xf>
    <xf numFmtId="43" fontId="4" fillId="2" borderId="29" xfId="0" applyNumberFormat="1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43" fontId="2" fillId="2" borderId="31" xfId="1" applyFont="1" applyFill="1" applyBorder="1" applyAlignment="1">
      <alignment horizontal="center" vertical="center"/>
    </xf>
    <xf numFmtId="43" fontId="4" fillId="2" borderId="3" xfId="0" applyNumberFormat="1" applyFont="1" applyFill="1" applyBorder="1" applyAlignment="1">
      <alignment horizontal="center" vertical="center"/>
    </xf>
    <xf numFmtId="43" fontId="4" fillId="2" borderId="2" xfId="0" applyNumberFormat="1" applyFont="1" applyFill="1" applyBorder="1" applyAlignment="1">
      <alignment horizontal="center" vertical="center"/>
    </xf>
    <xf numFmtId="43" fontId="4" fillId="2" borderId="32" xfId="0" applyNumberFormat="1" applyFont="1" applyFill="1" applyBorder="1" applyAlignment="1">
      <alignment horizontal="center" vertical="center"/>
    </xf>
    <xf numFmtId="43" fontId="4" fillId="2" borderId="27" xfId="1" applyNumberFormat="1" applyFont="1" applyFill="1" applyBorder="1" applyAlignment="1">
      <alignment horizontal="center" vertical="center"/>
    </xf>
    <xf numFmtId="43" fontId="4" fillId="2" borderId="27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4" xfId="0" applyNumberFormat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center"/>
    </xf>
    <xf numFmtId="164" fontId="2" fillId="3" borderId="15" xfId="2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2" fillId="3" borderId="14" xfId="1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3" fontId="4" fillId="2" borderId="27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43" fontId="8" fillId="2" borderId="30" xfId="0" applyNumberFormat="1" applyFont="1" applyFill="1" applyBorder="1" applyAlignment="1">
      <alignment horizontal="center" vertical="center"/>
    </xf>
    <xf numFmtId="43" fontId="8" fillId="2" borderId="8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3" fontId="8" fillId="2" borderId="41" xfId="0" applyNumberFormat="1" applyFont="1" applyFill="1" applyBorder="1" applyAlignment="1">
      <alignment horizontal="center" vertical="center"/>
    </xf>
    <xf numFmtId="3" fontId="8" fillId="2" borderId="18" xfId="0" applyNumberFormat="1" applyFont="1" applyFill="1" applyBorder="1" applyAlignment="1">
      <alignment horizontal="center" vertical="center"/>
    </xf>
    <xf numFmtId="43" fontId="8" fillId="2" borderId="41" xfId="0" applyNumberFormat="1" applyFont="1" applyFill="1" applyBorder="1" applyAlignment="1">
      <alignment horizontal="center" vertical="center"/>
    </xf>
    <xf numFmtId="43" fontId="8" fillId="2" borderId="18" xfId="0" applyNumberFormat="1" applyFont="1" applyFill="1" applyBorder="1" applyAlignment="1">
      <alignment horizontal="center" vertical="center"/>
    </xf>
    <xf numFmtId="43" fontId="8" fillId="2" borderId="41" xfId="1" applyNumberFormat="1" applyFont="1" applyFill="1" applyBorder="1" applyAlignment="1">
      <alignment horizontal="center" vertical="center"/>
    </xf>
    <xf numFmtId="43" fontId="8" fillId="2" borderId="4" xfId="1" applyNumberFormat="1" applyFont="1" applyFill="1" applyBorder="1" applyAlignment="1">
      <alignment horizontal="center" vertical="center"/>
    </xf>
    <xf numFmtId="0" fontId="21" fillId="4" borderId="48" xfId="0" applyFont="1" applyFill="1" applyBorder="1" applyAlignment="1">
      <alignment horizontal="center" vertical="center"/>
    </xf>
    <xf numFmtId="0" fontId="21" fillId="4" borderId="49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48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0" fontId="17" fillId="6" borderId="0" xfId="0" applyFont="1" applyFill="1" applyAlignment="1">
      <alignment horizontal="center"/>
    </xf>
    <xf numFmtId="0" fontId="16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</cellXfs>
  <cellStyles count="13">
    <cellStyle name="Normal" xfId="0" builtinId="0"/>
    <cellStyle name="Normal 2" xfId="3"/>
    <cellStyle name="Normal 2 2" xfId="5"/>
    <cellStyle name="Normal 3" xfId="6"/>
    <cellStyle name="Normal 5" xfId="7"/>
    <cellStyle name="Porcentagem" xfId="2" builtinId="5"/>
    <cellStyle name="Separador de milhares 3" xfId="8"/>
    <cellStyle name="Separador de milhares 3 2" xfId="9"/>
    <cellStyle name="Vírgula" xfId="1" builtinId="3"/>
    <cellStyle name="Vírgula 2" xfId="4"/>
    <cellStyle name="Vírgula 2 2" xfId="10"/>
    <cellStyle name="Vírgula 3" xfId="11"/>
    <cellStyle name="Vírgula 4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923924</xdr:colOff>
      <xdr:row>0</xdr:row>
      <xdr:rowOff>104775</xdr:rowOff>
    </xdr:from>
    <xdr:ext cx="3076576" cy="743011"/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057274" y="1047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10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10600" y="369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10600" y="274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33833" y="2370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19583" y="441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820150" y="571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820150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82015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250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19583" y="3598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19583" y="3217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8519583" y="302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3912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116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39125" y="331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39125" y="236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561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44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561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561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561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370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370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57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427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57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427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3323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51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3323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3513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3513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599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599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6180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6180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599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599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6180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91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6180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656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656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113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675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113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675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63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751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63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751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72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9228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9228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9228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69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9228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402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402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368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368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15197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15197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15388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15388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81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106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81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1060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1191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11916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12869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90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12869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0425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0425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0616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0616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19854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112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19854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1029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1029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12195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16005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16005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529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529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54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5482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78333" y="254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78333" y="254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833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238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238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39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398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417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417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057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057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962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962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981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981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64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64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51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51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5344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5344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757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757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776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776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187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187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382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382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283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283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02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02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121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21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8"/>
  <sheetViews>
    <sheetView zoomScale="90" zoomScaleNormal="90" workbookViewId="0">
      <selection activeCell="AE37" sqref="AE37:AE38"/>
    </sheetView>
  </sheetViews>
  <sheetFormatPr defaultRowHeight="15"/>
  <cols>
    <col min="2" max="2" width="77" customWidth="1"/>
    <col min="3" max="10" width="8.7109375" customWidth="1"/>
    <col min="11" max="30" width="9.140625" hidden="1" customWidth="1"/>
    <col min="31" max="31" width="18.28515625" customWidth="1"/>
    <col min="32" max="32" width="14.28515625" bestFit="1" customWidth="1"/>
    <col min="35" max="35" width="9.7109375" bestFit="1" customWidth="1"/>
  </cols>
  <sheetData>
    <row r="1" spans="1:32" s="1" customFormat="1">
      <c r="A1" s="176" t="s">
        <v>0</v>
      </c>
      <c r="B1" s="178" t="s">
        <v>1</v>
      </c>
      <c r="C1" s="186" t="s">
        <v>2</v>
      </c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80" t="s">
        <v>3</v>
      </c>
      <c r="AF1" s="181"/>
    </row>
    <row r="2" spans="1:32" s="1" customFormat="1">
      <c r="A2" s="177"/>
      <c r="B2" s="179"/>
      <c r="C2" s="182" t="s">
        <v>4</v>
      </c>
      <c r="D2" s="183"/>
      <c r="E2" s="183"/>
      <c r="F2" s="184"/>
      <c r="G2" s="182" t="s">
        <v>5</v>
      </c>
      <c r="H2" s="183"/>
      <c r="I2" s="183"/>
      <c r="J2" s="184"/>
      <c r="K2" s="182" t="s">
        <v>6</v>
      </c>
      <c r="L2" s="183"/>
      <c r="M2" s="183"/>
      <c r="N2" s="184"/>
      <c r="O2" s="182" t="s">
        <v>44</v>
      </c>
      <c r="P2" s="183"/>
      <c r="Q2" s="183"/>
      <c r="R2" s="184"/>
      <c r="S2" s="182" t="s">
        <v>45</v>
      </c>
      <c r="T2" s="183"/>
      <c r="U2" s="183"/>
      <c r="V2" s="184"/>
      <c r="W2" s="182" t="s">
        <v>46</v>
      </c>
      <c r="X2" s="183"/>
      <c r="Y2" s="183"/>
      <c r="Z2" s="184"/>
      <c r="AA2" s="182" t="s">
        <v>47</v>
      </c>
      <c r="AB2" s="183"/>
      <c r="AC2" s="183"/>
      <c r="AD2" s="184"/>
      <c r="AE2" s="2" t="s">
        <v>7</v>
      </c>
      <c r="AF2" s="3" t="s">
        <v>8</v>
      </c>
    </row>
    <row r="3" spans="1:32" s="1" customFormat="1" ht="7.5" customHeight="1">
      <c r="A3" s="151">
        <v>1</v>
      </c>
      <c r="B3" s="153" t="str">
        <f>Resumo!B7</f>
        <v>Serviços Preliminares e Complementares</v>
      </c>
      <c r="C3" s="4"/>
      <c r="D3" s="5"/>
      <c r="E3" s="5"/>
      <c r="F3" s="6"/>
      <c r="G3" s="4"/>
      <c r="H3" s="5"/>
      <c r="I3" s="5"/>
      <c r="J3" s="6"/>
      <c r="K3" s="4"/>
      <c r="L3" s="5"/>
      <c r="M3" s="5"/>
      <c r="N3" s="6"/>
      <c r="O3" s="4"/>
      <c r="P3" s="5"/>
      <c r="Q3" s="5"/>
      <c r="R3" s="6"/>
      <c r="S3" s="4"/>
      <c r="T3" s="5"/>
      <c r="U3" s="5"/>
      <c r="V3" s="6"/>
      <c r="W3" s="4"/>
      <c r="X3" s="5"/>
      <c r="Y3" s="5"/>
      <c r="Z3" s="6"/>
      <c r="AA3" s="4"/>
      <c r="AB3" s="5"/>
      <c r="AC3" s="5"/>
      <c r="AD3" s="6"/>
      <c r="AE3" s="187"/>
      <c r="AF3" s="185" t="e">
        <f>AE3/AE$42</f>
        <v>#DIV/0!</v>
      </c>
    </row>
    <row r="4" spans="1:32" s="1" customFormat="1" ht="14.25">
      <c r="A4" s="152"/>
      <c r="B4" s="154"/>
      <c r="C4" s="159" t="str">
        <f>IFERROR(SUM(C5:F10)/$AE3,"")</f>
        <v/>
      </c>
      <c r="D4" s="160"/>
      <c r="E4" s="160"/>
      <c r="F4" s="161"/>
      <c r="G4" s="159" t="str">
        <f>IFERROR(SUM(G5:J10)/$AE3,"")</f>
        <v/>
      </c>
      <c r="H4" s="160"/>
      <c r="I4" s="160"/>
      <c r="J4" s="161"/>
      <c r="K4" s="162" t="str">
        <f>IFERROR(SUM(K5:N8)/$AE3,"")</f>
        <v/>
      </c>
      <c r="L4" s="163"/>
      <c r="M4" s="163"/>
      <c r="N4" s="164"/>
      <c r="O4" s="162" t="str">
        <f>IFERROR(SUM(O5:R8)/$AE3,"")</f>
        <v/>
      </c>
      <c r="P4" s="163"/>
      <c r="Q4" s="163"/>
      <c r="R4" s="164"/>
      <c r="S4" s="162" t="str">
        <f>IFERROR(SUM(S5:V8)/$AE3,"")</f>
        <v/>
      </c>
      <c r="T4" s="163"/>
      <c r="U4" s="163"/>
      <c r="V4" s="164"/>
      <c r="W4" s="162" t="str">
        <f>IFERROR(SUM(W5:Z8)/$AE3,"")</f>
        <v/>
      </c>
      <c r="X4" s="163"/>
      <c r="Y4" s="163"/>
      <c r="Z4" s="164"/>
      <c r="AA4" s="162" t="str">
        <f>IFERROR(SUM(AA5:AD8)/$AE3,"")</f>
        <v/>
      </c>
      <c r="AB4" s="163"/>
      <c r="AC4" s="163"/>
      <c r="AD4" s="164"/>
      <c r="AE4" s="156"/>
      <c r="AF4" s="158"/>
    </row>
    <row r="5" spans="1:32" s="1" customFormat="1" ht="7.5" customHeight="1">
      <c r="A5" s="140" t="s">
        <v>29</v>
      </c>
      <c r="B5" s="142" t="str">
        <f>'Serv. Preliminares e Complement'!C3</f>
        <v>Serviços Preliminares</v>
      </c>
      <c r="C5" s="127"/>
      <c r="D5" s="129"/>
      <c r="E5" s="129"/>
      <c r="F5" s="130"/>
      <c r="G5" s="127"/>
      <c r="H5" s="129"/>
      <c r="I5" s="129"/>
      <c r="J5" s="130"/>
      <c r="K5" s="7"/>
      <c r="L5" s="8"/>
      <c r="M5" s="8"/>
      <c r="N5" s="9"/>
      <c r="O5" s="7"/>
      <c r="P5" s="8"/>
      <c r="Q5" s="8"/>
      <c r="R5" s="9"/>
      <c r="S5" s="7"/>
      <c r="T5" s="8"/>
      <c r="U5" s="8"/>
      <c r="V5" s="9"/>
      <c r="W5" s="7"/>
      <c r="X5" s="8"/>
      <c r="Y5" s="8"/>
      <c r="Z5" s="9"/>
      <c r="AA5" s="7"/>
      <c r="AB5" s="8"/>
      <c r="AC5" s="8"/>
      <c r="AD5" s="9"/>
      <c r="AE5" s="144"/>
      <c r="AF5" s="146" t="str">
        <f>IFERROR(AE5/AE$3,"")</f>
        <v/>
      </c>
    </row>
    <row r="6" spans="1:32" s="1" customFormat="1">
      <c r="A6" s="141"/>
      <c r="B6" s="143"/>
      <c r="C6" s="148"/>
      <c r="D6" s="149"/>
      <c r="E6" s="149"/>
      <c r="F6" s="150"/>
      <c r="G6" s="148"/>
      <c r="H6" s="149"/>
      <c r="I6" s="149"/>
      <c r="J6" s="150"/>
      <c r="K6" s="148"/>
      <c r="L6" s="149"/>
      <c r="M6" s="149"/>
      <c r="N6" s="150"/>
      <c r="O6" s="148"/>
      <c r="P6" s="149"/>
      <c r="Q6" s="149"/>
      <c r="R6" s="150"/>
      <c r="S6" s="148"/>
      <c r="T6" s="149"/>
      <c r="U6" s="149"/>
      <c r="V6" s="150"/>
      <c r="W6" s="148"/>
      <c r="X6" s="149"/>
      <c r="Y6" s="149"/>
      <c r="Z6" s="150"/>
      <c r="AA6" s="148"/>
      <c r="AB6" s="149"/>
      <c r="AC6" s="149"/>
      <c r="AD6" s="150"/>
      <c r="AE6" s="145"/>
      <c r="AF6" s="147"/>
    </row>
    <row r="7" spans="1:32" s="1" customFormat="1" ht="7.5" customHeight="1">
      <c r="A7" s="140" t="s">
        <v>30</v>
      </c>
      <c r="B7" s="142" t="str">
        <f>'Serv. Preliminares e Complement'!C9</f>
        <v>Projetos</v>
      </c>
      <c r="C7" s="127"/>
      <c r="D7" s="129"/>
      <c r="E7" s="8"/>
      <c r="F7" s="9"/>
      <c r="G7" s="7"/>
      <c r="H7" s="8"/>
      <c r="I7" s="8"/>
      <c r="J7" s="130"/>
      <c r="K7" s="7"/>
      <c r="L7" s="8"/>
      <c r="M7" s="8"/>
      <c r="N7" s="9"/>
      <c r="O7" s="7"/>
      <c r="P7" s="8"/>
      <c r="Q7" s="8"/>
      <c r="R7" s="9"/>
      <c r="S7" s="7"/>
      <c r="T7" s="8"/>
      <c r="U7" s="8"/>
      <c r="V7" s="9"/>
      <c r="W7" s="7"/>
      <c r="X7" s="8"/>
      <c r="Y7" s="8"/>
      <c r="Z7" s="9"/>
      <c r="AA7" s="7"/>
      <c r="AB7" s="8"/>
      <c r="AC7" s="8"/>
      <c r="AD7" s="9"/>
      <c r="AE7" s="144"/>
      <c r="AF7" s="146" t="str">
        <f>IFERROR(AE7/AE$3,"")</f>
        <v/>
      </c>
    </row>
    <row r="8" spans="1:32" s="1" customFormat="1">
      <c r="A8" s="141"/>
      <c r="B8" s="143"/>
      <c r="C8" s="148"/>
      <c r="D8" s="149"/>
      <c r="E8" s="149"/>
      <c r="F8" s="150"/>
      <c r="G8" s="148"/>
      <c r="H8" s="149"/>
      <c r="I8" s="149"/>
      <c r="J8" s="150"/>
      <c r="K8" s="148"/>
      <c r="L8" s="149"/>
      <c r="M8" s="149"/>
      <c r="N8" s="150"/>
      <c r="O8" s="148"/>
      <c r="P8" s="149"/>
      <c r="Q8" s="149"/>
      <c r="R8" s="150"/>
      <c r="S8" s="148"/>
      <c r="T8" s="149"/>
      <c r="U8" s="149"/>
      <c r="V8" s="150"/>
      <c r="W8" s="148"/>
      <c r="X8" s="149"/>
      <c r="Y8" s="149"/>
      <c r="Z8" s="150"/>
      <c r="AA8" s="148"/>
      <c r="AB8" s="149"/>
      <c r="AC8" s="149"/>
      <c r="AD8" s="150"/>
      <c r="AE8" s="145"/>
      <c r="AF8" s="147"/>
    </row>
    <row r="9" spans="1:32" s="1" customFormat="1" ht="7.5" customHeight="1">
      <c r="A9" s="140" t="s">
        <v>31</v>
      </c>
      <c r="B9" s="142" t="str">
        <f>'Serv. Preliminares e Complement'!C14</f>
        <v>Limpeza Final</v>
      </c>
      <c r="C9" s="7"/>
      <c r="D9" s="8"/>
      <c r="E9" s="8"/>
      <c r="F9" s="9"/>
      <c r="G9" s="7"/>
      <c r="H9" s="8"/>
      <c r="I9" s="8"/>
      <c r="J9" s="130"/>
      <c r="K9" s="7"/>
      <c r="L9" s="8"/>
      <c r="M9" s="8"/>
      <c r="N9" s="9"/>
      <c r="O9" s="7"/>
      <c r="P9" s="8"/>
      <c r="Q9" s="8"/>
      <c r="R9" s="9"/>
      <c r="S9" s="7"/>
      <c r="T9" s="8"/>
      <c r="U9" s="8"/>
      <c r="V9" s="9"/>
      <c r="W9" s="7"/>
      <c r="X9" s="8"/>
      <c r="Y9" s="8"/>
      <c r="Z9" s="9"/>
      <c r="AA9" s="7"/>
      <c r="AB9" s="8"/>
      <c r="AC9" s="8"/>
      <c r="AD9" s="9"/>
      <c r="AE9" s="144"/>
      <c r="AF9" s="146" t="str">
        <f>IFERROR(AE9/AE$3,"")</f>
        <v/>
      </c>
    </row>
    <row r="10" spans="1:32" s="1" customFormat="1">
      <c r="A10" s="141"/>
      <c r="B10" s="143"/>
      <c r="C10" s="148"/>
      <c r="D10" s="149"/>
      <c r="E10" s="149"/>
      <c r="F10" s="150"/>
      <c r="G10" s="148"/>
      <c r="H10" s="149"/>
      <c r="I10" s="149"/>
      <c r="J10" s="150"/>
      <c r="K10" s="148"/>
      <c r="L10" s="149"/>
      <c r="M10" s="149"/>
      <c r="N10" s="150"/>
      <c r="O10" s="148"/>
      <c r="P10" s="149"/>
      <c r="Q10" s="149"/>
      <c r="R10" s="150"/>
      <c r="S10" s="148"/>
      <c r="T10" s="149"/>
      <c r="U10" s="149"/>
      <c r="V10" s="150"/>
      <c r="W10" s="148"/>
      <c r="X10" s="149"/>
      <c r="Y10" s="149"/>
      <c r="Z10" s="150"/>
      <c r="AA10" s="148"/>
      <c r="AB10" s="149"/>
      <c r="AC10" s="149"/>
      <c r="AD10" s="150"/>
      <c r="AE10" s="145"/>
      <c r="AF10" s="147"/>
    </row>
    <row r="11" spans="1:32" s="1" customFormat="1" ht="7.5" customHeight="1">
      <c r="A11" s="151">
        <v>2</v>
      </c>
      <c r="B11" s="153" t="str">
        <f>Resumo!B8</f>
        <v>Guarita G3</v>
      </c>
      <c r="C11" s="4"/>
      <c r="D11" s="5"/>
      <c r="E11" s="5"/>
      <c r="F11" s="6"/>
      <c r="G11" s="4"/>
      <c r="H11" s="5"/>
      <c r="I11" s="5"/>
      <c r="J11" s="6"/>
      <c r="K11" s="4"/>
      <c r="L11" s="5"/>
      <c r="M11" s="5"/>
      <c r="N11" s="6"/>
      <c r="O11" s="4"/>
      <c r="P11" s="5"/>
      <c r="Q11" s="5"/>
      <c r="R11" s="6"/>
      <c r="S11" s="4"/>
      <c r="T11" s="5"/>
      <c r="U11" s="5"/>
      <c r="V11" s="6"/>
      <c r="W11" s="4"/>
      <c r="X11" s="5"/>
      <c r="Y11" s="5"/>
      <c r="Z11" s="6"/>
      <c r="AA11" s="4"/>
      <c r="AB11" s="5"/>
      <c r="AC11" s="5"/>
      <c r="AD11" s="6"/>
      <c r="AE11" s="155"/>
      <c r="AF11" s="157" t="e">
        <f>AE11/AE$42</f>
        <v>#DIV/0!</v>
      </c>
    </row>
    <row r="12" spans="1:32" s="1" customFormat="1" ht="14.25">
      <c r="A12" s="152"/>
      <c r="B12" s="154"/>
      <c r="C12" s="159" t="str">
        <f>IFERROR(SUM(C13:F36)/$AE11,"")</f>
        <v/>
      </c>
      <c r="D12" s="160"/>
      <c r="E12" s="160"/>
      <c r="F12" s="161"/>
      <c r="G12" s="159" t="str">
        <f>IFERROR(SUM(G13:J36)/$AE11,"")</f>
        <v/>
      </c>
      <c r="H12" s="160"/>
      <c r="I12" s="160"/>
      <c r="J12" s="161"/>
      <c r="K12" s="162" t="str">
        <f>IFERROR(SUM(K13:N14)/$AE11,"")</f>
        <v/>
      </c>
      <c r="L12" s="163"/>
      <c r="M12" s="163"/>
      <c r="N12" s="164"/>
      <c r="O12" s="162" t="str">
        <f>IFERROR(SUM(O13:R14)/$AE11,"")</f>
        <v/>
      </c>
      <c r="P12" s="163"/>
      <c r="Q12" s="163"/>
      <c r="R12" s="164"/>
      <c r="S12" s="162" t="str">
        <f>IFERROR(SUM(S13:V14)/$AE11,"")</f>
        <v/>
      </c>
      <c r="T12" s="163"/>
      <c r="U12" s="163"/>
      <c r="V12" s="164"/>
      <c r="W12" s="162" t="str">
        <f>IFERROR(SUM(W13:Z14)/$AE11,"")</f>
        <v/>
      </c>
      <c r="X12" s="163"/>
      <c r="Y12" s="163"/>
      <c r="Z12" s="164"/>
      <c r="AA12" s="162" t="str">
        <f>IFERROR(SUM(AA13:AD14)/$AE11,"")</f>
        <v/>
      </c>
      <c r="AB12" s="163"/>
      <c r="AC12" s="163"/>
      <c r="AD12" s="164"/>
      <c r="AE12" s="156"/>
      <c r="AF12" s="158"/>
    </row>
    <row r="13" spans="1:32" s="1" customFormat="1" ht="7.5" customHeight="1">
      <c r="A13" s="140" t="s">
        <v>26</v>
      </c>
      <c r="B13" s="142" t="str">
        <f>'Guarita G3'!C3</f>
        <v>Demolição e retiradas</v>
      </c>
      <c r="C13" s="127"/>
      <c r="D13" s="129"/>
      <c r="E13" s="8"/>
      <c r="F13" s="9"/>
      <c r="G13" s="7"/>
      <c r="H13" s="8"/>
      <c r="I13" s="8"/>
      <c r="J13" s="9"/>
      <c r="K13" s="7"/>
      <c r="L13" s="8"/>
      <c r="M13" s="8"/>
      <c r="N13" s="9"/>
      <c r="O13" s="7"/>
      <c r="P13" s="8"/>
      <c r="Q13" s="8"/>
      <c r="R13" s="9"/>
      <c r="S13" s="7"/>
      <c r="T13" s="8"/>
      <c r="U13" s="8"/>
      <c r="V13" s="9"/>
      <c r="W13" s="7"/>
      <c r="X13" s="8"/>
      <c r="Y13" s="8"/>
      <c r="Z13" s="9"/>
      <c r="AA13" s="7"/>
      <c r="AB13" s="8"/>
      <c r="AC13" s="8"/>
      <c r="AD13" s="9"/>
      <c r="AE13" s="144"/>
      <c r="AF13" s="146" t="str">
        <f>IFERROR(AE13/AE$11,"")</f>
        <v/>
      </c>
    </row>
    <row r="14" spans="1:32" s="1" customFormat="1">
      <c r="A14" s="141"/>
      <c r="B14" s="143"/>
      <c r="C14" s="148"/>
      <c r="D14" s="149"/>
      <c r="E14" s="149"/>
      <c r="F14" s="150"/>
      <c r="G14" s="148"/>
      <c r="H14" s="149"/>
      <c r="I14" s="149"/>
      <c r="J14" s="150"/>
      <c r="K14" s="148"/>
      <c r="L14" s="149"/>
      <c r="M14" s="149"/>
      <c r="N14" s="150"/>
      <c r="O14" s="148"/>
      <c r="P14" s="149"/>
      <c r="Q14" s="149"/>
      <c r="R14" s="150"/>
      <c r="S14" s="148"/>
      <c r="T14" s="149"/>
      <c r="U14" s="149"/>
      <c r="V14" s="150"/>
      <c r="W14" s="148"/>
      <c r="X14" s="149"/>
      <c r="Y14" s="149"/>
      <c r="Z14" s="150"/>
      <c r="AA14" s="148"/>
      <c r="AB14" s="149"/>
      <c r="AC14" s="149"/>
      <c r="AD14" s="150"/>
      <c r="AE14" s="145"/>
      <c r="AF14" s="147"/>
    </row>
    <row r="15" spans="1:32" s="1" customFormat="1" ht="7.5" customHeight="1">
      <c r="A15" s="140" t="s">
        <v>34</v>
      </c>
      <c r="B15" s="142" t="str">
        <f>'Guarita G3'!C14</f>
        <v>Alvenaria</v>
      </c>
      <c r="C15" s="7"/>
      <c r="D15" s="8"/>
      <c r="E15" s="129"/>
      <c r="F15" s="9"/>
      <c r="G15" s="7"/>
      <c r="H15" s="8"/>
      <c r="I15" s="8"/>
      <c r="J15" s="9"/>
      <c r="K15" s="7"/>
      <c r="L15" s="8"/>
      <c r="M15" s="8"/>
      <c r="N15" s="9"/>
      <c r="O15" s="7"/>
      <c r="P15" s="8"/>
      <c r="Q15" s="8"/>
      <c r="R15" s="9"/>
      <c r="S15" s="7"/>
      <c r="T15" s="8"/>
      <c r="U15" s="8"/>
      <c r="V15" s="9"/>
      <c r="W15" s="7"/>
      <c r="X15" s="8"/>
      <c r="Y15" s="8"/>
      <c r="Z15" s="9"/>
      <c r="AA15" s="7"/>
      <c r="AB15" s="8"/>
      <c r="AC15" s="8"/>
      <c r="AD15" s="9"/>
      <c r="AE15" s="144"/>
      <c r="AF15" s="146" t="str">
        <f>IFERROR(AE15/AE$11,"")</f>
        <v/>
      </c>
    </row>
    <row r="16" spans="1:32" s="1" customFormat="1">
      <c r="A16" s="141"/>
      <c r="B16" s="143"/>
      <c r="C16" s="148"/>
      <c r="D16" s="149"/>
      <c r="E16" s="149"/>
      <c r="F16" s="150"/>
      <c r="G16" s="148"/>
      <c r="H16" s="149"/>
      <c r="I16" s="149"/>
      <c r="J16" s="150"/>
      <c r="K16" s="148"/>
      <c r="L16" s="149"/>
      <c r="M16" s="149"/>
      <c r="N16" s="150"/>
      <c r="O16" s="148"/>
      <c r="P16" s="149"/>
      <c r="Q16" s="149"/>
      <c r="R16" s="150"/>
      <c r="S16" s="148"/>
      <c r="T16" s="149"/>
      <c r="U16" s="149"/>
      <c r="V16" s="150"/>
      <c r="W16" s="148"/>
      <c r="X16" s="149"/>
      <c r="Y16" s="149"/>
      <c r="Z16" s="150"/>
      <c r="AA16" s="148"/>
      <c r="AB16" s="149"/>
      <c r="AC16" s="149"/>
      <c r="AD16" s="150"/>
      <c r="AE16" s="145"/>
      <c r="AF16" s="147"/>
    </row>
    <row r="17" spans="1:32" s="1" customFormat="1" ht="7.5" customHeight="1">
      <c r="A17" s="140" t="s">
        <v>61</v>
      </c>
      <c r="B17" s="142" t="str">
        <f>'Guarita G3'!C17</f>
        <v>Estrutura</v>
      </c>
      <c r="C17" s="7"/>
      <c r="D17" s="8"/>
      <c r="E17" s="129"/>
      <c r="F17" s="130"/>
      <c r="G17" s="7"/>
      <c r="H17" s="8"/>
      <c r="I17" s="8"/>
      <c r="J17" s="9"/>
      <c r="K17" s="7"/>
      <c r="L17" s="8"/>
      <c r="M17" s="8"/>
      <c r="N17" s="9"/>
      <c r="O17" s="7"/>
      <c r="P17" s="8"/>
      <c r="Q17" s="8"/>
      <c r="R17" s="9"/>
      <c r="S17" s="7"/>
      <c r="T17" s="8"/>
      <c r="U17" s="8"/>
      <c r="V17" s="9"/>
      <c r="W17" s="7"/>
      <c r="X17" s="8"/>
      <c r="Y17" s="8"/>
      <c r="Z17" s="9"/>
      <c r="AA17" s="7"/>
      <c r="AB17" s="8"/>
      <c r="AC17" s="8"/>
      <c r="AD17" s="9"/>
      <c r="AE17" s="144"/>
      <c r="AF17" s="146" t="str">
        <f>IFERROR(AE17/AE$11,"")</f>
        <v/>
      </c>
    </row>
    <row r="18" spans="1:32" s="1" customFormat="1">
      <c r="A18" s="141"/>
      <c r="B18" s="143"/>
      <c r="C18" s="148"/>
      <c r="D18" s="149"/>
      <c r="E18" s="149"/>
      <c r="F18" s="150"/>
      <c r="G18" s="148"/>
      <c r="H18" s="149"/>
      <c r="I18" s="149"/>
      <c r="J18" s="150"/>
      <c r="K18" s="148"/>
      <c r="L18" s="149"/>
      <c r="M18" s="149"/>
      <c r="N18" s="150"/>
      <c r="O18" s="148"/>
      <c r="P18" s="149"/>
      <c r="Q18" s="149"/>
      <c r="R18" s="150"/>
      <c r="S18" s="148"/>
      <c r="T18" s="149"/>
      <c r="U18" s="149"/>
      <c r="V18" s="150"/>
      <c r="W18" s="148"/>
      <c r="X18" s="149"/>
      <c r="Y18" s="149"/>
      <c r="Z18" s="150"/>
      <c r="AA18" s="148"/>
      <c r="AB18" s="149"/>
      <c r="AC18" s="149"/>
      <c r="AD18" s="150"/>
      <c r="AE18" s="145"/>
      <c r="AF18" s="147"/>
    </row>
    <row r="19" spans="1:32" s="1" customFormat="1" ht="7.5" customHeight="1">
      <c r="A19" s="140" t="s">
        <v>62</v>
      </c>
      <c r="B19" s="142" t="str">
        <f>'Guarita G3'!C24</f>
        <v>Cobertura</v>
      </c>
      <c r="C19" s="7"/>
      <c r="D19" s="8"/>
      <c r="E19" s="8"/>
      <c r="F19" s="130"/>
      <c r="G19" s="7"/>
      <c r="H19" s="8"/>
      <c r="I19" s="8"/>
      <c r="J19" s="9"/>
      <c r="K19" s="7"/>
      <c r="L19" s="8"/>
      <c r="M19" s="8"/>
      <c r="N19" s="9"/>
      <c r="O19" s="7"/>
      <c r="P19" s="8"/>
      <c r="Q19" s="8"/>
      <c r="R19" s="9"/>
      <c r="S19" s="7"/>
      <c r="T19" s="8"/>
      <c r="U19" s="8"/>
      <c r="V19" s="9"/>
      <c r="W19" s="7"/>
      <c r="X19" s="8"/>
      <c r="Y19" s="8"/>
      <c r="Z19" s="9"/>
      <c r="AA19" s="7"/>
      <c r="AB19" s="8"/>
      <c r="AC19" s="8"/>
      <c r="AD19" s="9"/>
      <c r="AE19" s="144"/>
      <c r="AF19" s="146" t="str">
        <f>IFERROR(AE19/AE$11,"")</f>
        <v/>
      </c>
    </row>
    <row r="20" spans="1:32" s="1" customFormat="1">
      <c r="A20" s="141"/>
      <c r="B20" s="143"/>
      <c r="C20" s="148"/>
      <c r="D20" s="149"/>
      <c r="E20" s="149"/>
      <c r="F20" s="150"/>
      <c r="G20" s="148"/>
      <c r="H20" s="149"/>
      <c r="I20" s="149"/>
      <c r="J20" s="150"/>
      <c r="K20" s="148"/>
      <c r="L20" s="149"/>
      <c r="M20" s="149"/>
      <c r="N20" s="150"/>
      <c r="O20" s="148"/>
      <c r="P20" s="149"/>
      <c r="Q20" s="149"/>
      <c r="R20" s="150"/>
      <c r="S20" s="148"/>
      <c r="T20" s="149"/>
      <c r="U20" s="149"/>
      <c r="V20" s="150"/>
      <c r="W20" s="148"/>
      <c r="X20" s="149"/>
      <c r="Y20" s="149"/>
      <c r="Z20" s="150"/>
      <c r="AA20" s="148"/>
      <c r="AB20" s="149"/>
      <c r="AC20" s="149"/>
      <c r="AD20" s="150"/>
      <c r="AE20" s="145"/>
      <c r="AF20" s="147"/>
    </row>
    <row r="21" spans="1:32" s="1" customFormat="1" ht="7.5" customHeight="1">
      <c r="A21" s="140" t="s">
        <v>34</v>
      </c>
      <c r="B21" s="142" t="str">
        <f>'Guarita G3'!C31</f>
        <v>Entrada de Água</v>
      </c>
      <c r="C21" s="7"/>
      <c r="D21" s="8"/>
      <c r="E21" s="8"/>
      <c r="F21" s="9"/>
      <c r="G21" s="127"/>
      <c r="H21" s="8"/>
      <c r="I21" s="8"/>
      <c r="J21" s="9"/>
      <c r="K21" s="7"/>
      <c r="L21" s="8"/>
      <c r="M21" s="8"/>
      <c r="N21" s="9"/>
      <c r="O21" s="7"/>
      <c r="P21" s="8"/>
      <c r="Q21" s="8"/>
      <c r="R21" s="9"/>
      <c r="S21" s="7"/>
      <c r="T21" s="8"/>
      <c r="U21" s="8"/>
      <c r="V21" s="9"/>
      <c r="W21" s="7"/>
      <c r="X21" s="8"/>
      <c r="Y21" s="8"/>
      <c r="Z21" s="9"/>
      <c r="AA21" s="7"/>
      <c r="AB21" s="8"/>
      <c r="AC21" s="8"/>
      <c r="AD21" s="9"/>
      <c r="AE21" s="144"/>
      <c r="AF21" s="146" t="str">
        <f>IFERROR(AE21/AE$11,"")</f>
        <v/>
      </c>
    </row>
    <row r="22" spans="1:32" s="1" customFormat="1">
      <c r="A22" s="141"/>
      <c r="B22" s="143"/>
      <c r="C22" s="148"/>
      <c r="D22" s="149"/>
      <c r="E22" s="149"/>
      <c r="F22" s="150"/>
      <c r="G22" s="148"/>
      <c r="H22" s="149"/>
      <c r="I22" s="149"/>
      <c r="J22" s="150"/>
      <c r="K22" s="148"/>
      <c r="L22" s="149"/>
      <c r="M22" s="149"/>
      <c r="N22" s="150"/>
      <c r="O22" s="148"/>
      <c r="P22" s="149"/>
      <c r="Q22" s="149"/>
      <c r="R22" s="150"/>
      <c r="S22" s="148"/>
      <c r="T22" s="149"/>
      <c r="U22" s="149"/>
      <c r="V22" s="150"/>
      <c r="W22" s="148"/>
      <c r="X22" s="149"/>
      <c r="Y22" s="149"/>
      <c r="Z22" s="150"/>
      <c r="AA22" s="148"/>
      <c r="AB22" s="149"/>
      <c r="AC22" s="149"/>
      <c r="AD22" s="150"/>
      <c r="AE22" s="145"/>
      <c r="AF22" s="147"/>
    </row>
    <row r="23" spans="1:32" s="1" customFormat="1" ht="7.5" customHeight="1">
      <c r="A23" s="140" t="s">
        <v>34</v>
      </c>
      <c r="B23" s="142" t="str">
        <f>'Guarita G3'!C45</f>
        <v>Entrada de Energia</v>
      </c>
      <c r="C23" s="7"/>
      <c r="D23" s="8"/>
      <c r="E23" s="8"/>
      <c r="F23" s="9"/>
      <c r="G23" s="127"/>
      <c r="H23" s="8"/>
      <c r="I23" s="8"/>
      <c r="J23" s="9"/>
      <c r="K23" s="7"/>
      <c r="L23" s="8"/>
      <c r="M23" s="8"/>
      <c r="N23" s="9"/>
      <c r="O23" s="7"/>
      <c r="P23" s="8"/>
      <c r="Q23" s="8"/>
      <c r="R23" s="9"/>
      <c r="S23" s="7"/>
      <c r="T23" s="8"/>
      <c r="U23" s="8"/>
      <c r="V23" s="9"/>
      <c r="W23" s="7"/>
      <c r="X23" s="8"/>
      <c r="Y23" s="8"/>
      <c r="Z23" s="9"/>
      <c r="AA23" s="7"/>
      <c r="AB23" s="8"/>
      <c r="AC23" s="8"/>
      <c r="AD23" s="9"/>
      <c r="AE23" s="144"/>
      <c r="AF23" s="146" t="str">
        <f>IFERROR(AE23/AE$11,"")</f>
        <v/>
      </c>
    </row>
    <row r="24" spans="1:32" s="1" customFormat="1">
      <c r="A24" s="141"/>
      <c r="B24" s="143"/>
      <c r="C24" s="148"/>
      <c r="D24" s="149"/>
      <c r="E24" s="149"/>
      <c r="F24" s="150"/>
      <c r="G24" s="148"/>
      <c r="H24" s="149"/>
      <c r="I24" s="149"/>
      <c r="J24" s="150"/>
      <c r="K24" s="148"/>
      <c r="L24" s="149"/>
      <c r="M24" s="149"/>
      <c r="N24" s="150"/>
      <c r="O24" s="148"/>
      <c r="P24" s="149"/>
      <c r="Q24" s="149"/>
      <c r="R24" s="150"/>
      <c r="S24" s="148"/>
      <c r="T24" s="149"/>
      <c r="U24" s="149"/>
      <c r="V24" s="150"/>
      <c r="W24" s="148"/>
      <c r="X24" s="149"/>
      <c r="Y24" s="149"/>
      <c r="Z24" s="150"/>
      <c r="AA24" s="148"/>
      <c r="AB24" s="149"/>
      <c r="AC24" s="149"/>
      <c r="AD24" s="150"/>
      <c r="AE24" s="145"/>
      <c r="AF24" s="147"/>
    </row>
    <row r="25" spans="1:32" s="1" customFormat="1" ht="7.5" customHeight="1">
      <c r="A25" s="140" t="s">
        <v>34</v>
      </c>
      <c r="B25" s="142" t="str">
        <f>'Guarita G3'!C52</f>
        <v>Revestimento Argamassado</v>
      </c>
      <c r="C25" s="7"/>
      <c r="D25" s="8"/>
      <c r="E25" s="8"/>
      <c r="F25" s="9"/>
      <c r="G25" s="127"/>
      <c r="H25" s="8"/>
      <c r="I25" s="8"/>
      <c r="J25" s="9"/>
      <c r="K25" s="7"/>
      <c r="L25" s="8"/>
      <c r="M25" s="8"/>
      <c r="N25" s="9"/>
      <c r="O25" s="7"/>
      <c r="P25" s="8"/>
      <c r="Q25" s="8"/>
      <c r="R25" s="9"/>
      <c r="S25" s="7"/>
      <c r="T25" s="8"/>
      <c r="U25" s="8"/>
      <c r="V25" s="9"/>
      <c r="W25" s="7"/>
      <c r="X25" s="8"/>
      <c r="Y25" s="8"/>
      <c r="Z25" s="9"/>
      <c r="AA25" s="7"/>
      <c r="AB25" s="8"/>
      <c r="AC25" s="8"/>
      <c r="AD25" s="9"/>
      <c r="AE25" s="144"/>
      <c r="AF25" s="146" t="str">
        <f>IFERROR(AE25/AE$11,"")</f>
        <v/>
      </c>
    </row>
    <row r="26" spans="1:32" s="1" customFormat="1">
      <c r="A26" s="141"/>
      <c r="B26" s="143"/>
      <c r="C26" s="148"/>
      <c r="D26" s="149"/>
      <c r="E26" s="149"/>
      <c r="F26" s="150"/>
      <c r="G26" s="148"/>
      <c r="H26" s="149"/>
      <c r="I26" s="149"/>
      <c r="J26" s="150"/>
      <c r="K26" s="148"/>
      <c r="L26" s="149"/>
      <c r="M26" s="149"/>
      <c r="N26" s="150"/>
      <c r="O26" s="148"/>
      <c r="P26" s="149"/>
      <c r="Q26" s="149"/>
      <c r="R26" s="150"/>
      <c r="S26" s="148"/>
      <c r="T26" s="149"/>
      <c r="U26" s="149"/>
      <c r="V26" s="150"/>
      <c r="W26" s="148"/>
      <c r="X26" s="149"/>
      <c r="Y26" s="149"/>
      <c r="Z26" s="150"/>
      <c r="AA26" s="148"/>
      <c r="AB26" s="149"/>
      <c r="AC26" s="149"/>
      <c r="AD26" s="150"/>
      <c r="AE26" s="145"/>
      <c r="AF26" s="147"/>
    </row>
    <row r="27" spans="1:32" s="1" customFormat="1" ht="7.5" customHeight="1">
      <c r="A27" s="140" t="s">
        <v>34</v>
      </c>
      <c r="B27" s="142" t="str">
        <f>'Guarita G3'!C58</f>
        <v>Instalação Eletrica</v>
      </c>
      <c r="C27" s="7"/>
      <c r="D27" s="8"/>
      <c r="E27" s="8"/>
      <c r="F27" s="130"/>
      <c r="G27" s="127"/>
      <c r="H27" s="8"/>
      <c r="I27" s="8"/>
      <c r="J27" s="9"/>
      <c r="K27" s="7"/>
      <c r="L27" s="8"/>
      <c r="M27" s="8"/>
      <c r="N27" s="9"/>
      <c r="O27" s="7"/>
      <c r="P27" s="8"/>
      <c r="Q27" s="8"/>
      <c r="R27" s="9"/>
      <c r="S27" s="7"/>
      <c r="T27" s="8"/>
      <c r="U27" s="8"/>
      <c r="V27" s="9"/>
      <c r="W27" s="7"/>
      <c r="X27" s="8"/>
      <c r="Y27" s="8"/>
      <c r="Z27" s="9"/>
      <c r="AA27" s="7"/>
      <c r="AB27" s="8"/>
      <c r="AC27" s="8"/>
      <c r="AD27" s="9"/>
      <c r="AE27" s="144"/>
      <c r="AF27" s="146" t="str">
        <f>IFERROR(AE27/AE$11,"")</f>
        <v/>
      </c>
    </row>
    <row r="28" spans="1:32" s="1" customFormat="1">
      <c r="A28" s="141"/>
      <c r="B28" s="143"/>
      <c r="C28" s="148"/>
      <c r="D28" s="149"/>
      <c r="E28" s="149"/>
      <c r="F28" s="150"/>
      <c r="G28" s="148"/>
      <c r="H28" s="149"/>
      <c r="I28" s="149"/>
      <c r="J28" s="150"/>
      <c r="K28" s="148"/>
      <c r="L28" s="149"/>
      <c r="M28" s="149"/>
      <c r="N28" s="150"/>
      <c r="O28" s="148"/>
      <c r="P28" s="149"/>
      <c r="Q28" s="149"/>
      <c r="R28" s="150"/>
      <c r="S28" s="148"/>
      <c r="T28" s="149"/>
      <c r="U28" s="149"/>
      <c r="V28" s="150"/>
      <c r="W28" s="148"/>
      <c r="X28" s="149"/>
      <c r="Y28" s="149"/>
      <c r="Z28" s="150"/>
      <c r="AA28" s="148"/>
      <c r="AB28" s="149"/>
      <c r="AC28" s="149"/>
      <c r="AD28" s="150"/>
      <c r="AE28" s="145"/>
      <c r="AF28" s="147"/>
    </row>
    <row r="29" spans="1:32" s="1" customFormat="1" ht="7.5" customHeight="1">
      <c r="A29" s="140" t="s">
        <v>34</v>
      </c>
      <c r="B29" s="142" t="str">
        <f>'Guarita G3'!C82</f>
        <v>Hidráulica</v>
      </c>
      <c r="C29" s="7"/>
      <c r="D29" s="8"/>
      <c r="E29" s="8"/>
      <c r="F29" s="130"/>
      <c r="G29" s="7"/>
      <c r="H29" s="8"/>
      <c r="I29" s="8"/>
      <c r="J29" s="9"/>
      <c r="K29" s="7"/>
      <c r="L29" s="8"/>
      <c r="M29" s="8"/>
      <c r="N29" s="9"/>
      <c r="O29" s="7"/>
      <c r="P29" s="8"/>
      <c r="Q29" s="8"/>
      <c r="R29" s="9"/>
      <c r="S29" s="7"/>
      <c r="T29" s="8"/>
      <c r="U29" s="8"/>
      <c r="V29" s="9"/>
      <c r="W29" s="7"/>
      <c r="X29" s="8"/>
      <c r="Y29" s="8"/>
      <c r="Z29" s="9"/>
      <c r="AA29" s="7"/>
      <c r="AB29" s="8"/>
      <c r="AC29" s="8"/>
      <c r="AD29" s="9"/>
      <c r="AE29" s="144"/>
      <c r="AF29" s="146" t="str">
        <f>IFERROR(AE29/AE$11,"")</f>
        <v/>
      </c>
    </row>
    <row r="30" spans="1:32" s="1" customFormat="1">
      <c r="A30" s="141"/>
      <c r="B30" s="143"/>
      <c r="C30" s="148"/>
      <c r="D30" s="149"/>
      <c r="E30" s="149"/>
      <c r="F30" s="150"/>
      <c r="G30" s="148"/>
      <c r="H30" s="149"/>
      <c r="I30" s="149"/>
      <c r="J30" s="150"/>
      <c r="K30" s="148"/>
      <c r="L30" s="149"/>
      <c r="M30" s="149"/>
      <c r="N30" s="150"/>
      <c r="O30" s="148"/>
      <c r="P30" s="149"/>
      <c r="Q30" s="149"/>
      <c r="R30" s="150"/>
      <c r="S30" s="148"/>
      <c r="T30" s="149"/>
      <c r="U30" s="149"/>
      <c r="V30" s="150"/>
      <c r="W30" s="148"/>
      <c r="X30" s="149"/>
      <c r="Y30" s="149"/>
      <c r="Z30" s="150"/>
      <c r="AA30" s="148"/>
      <c r="AB30" s="149"/>
      <c r="AC30" s="149"/>
      <c r="AD30" s="150"/>
      <c r="AE30" s="145"/>
      <c r="AF30" s="147"/>
    </row>
    <row r="31" spans="1:32" s="1" customFormat="1" ht="7.5" customHeight="1">
      <c r="A31" s="140" t="s">
        <v>34</v>
      </c>
      <c r="B31" s="142" t="str">
        <f>'Guarita G3'!C91</f>
        <v>Acabamentos</v>
      </c>
      <c r="C31" s="7"/>
      <c r="D31" s="8"/>
      <c r="E31" s="8"/>
      <c r="F31" s="9"/>
      <c r="G31" s="7"/>
      <c r="H31" s="129"/>
      <c r="I31" s="129"/>
      <c r="J31" s="9"/>
      <c r="K31" s="7"/>
      <c r="L31" s="8"/>
      <c r="M31" s="8"/>
      <c r="N31" s="9"/>
      <c r="O31" s="7"/>
      <c r="P31" s="8"/>
      <c r="Q31" s="8"/>
      <c r="R31" s="9"/>
      <c r="S31" s="7"/>
      <c r="T31" s="8"/>
      <c r="U31" s="8"/>
      <c r="V31" s="9"/>
      <c r="W31" s="7"/>
      <c r="X31" s="8"/>
      <c r="Y31" s="8"/>
      <c r="Z31" s="9"/>
      <c r="AA31" s="7"/>
      <c r="AB31" s="8"/>
      <c r="AC31" s="8"/>
      <c r="AD31" s="9"/>
      <c r="AE31" s="144"/>
      <c r="AF31" s="146" t="str">
        <f>IFERROR(AE31/AE$11,"")</f>
        <v/>
      </c>
    </row>
    <row r="32" spans="1:32" s="1" customFormat="1">
      <c r="A32" s="141"/>
      <c r="B32" s="143"/>
      <c r="C32" s="148"/>
      <c r="D32" s="149"/>
      <c r="E32" s="149"/>
      <c r="F32" s="150"/>
      <c r="G32" s="148"/>
      <c r="H32" s="149"/>
      <c r="I32" s="149"/>
      <c r="J32" s="150"/>
      <c r="K32" s="148"/>
      <c r="L32" s="149"/>
      <c r="M32" s="149"/>
      <c r="N32" s="150"/>
      <c r="O32" s="148"/>
      <c r="P32" s="149"/>
      <c r="Q32" s="149"/>
      <c r="R32" s="150"/>
      <c r="S32" s="148"/>
      <c r="T32" s="149"/>
      <c r="U32" s="149"/>
      <c r="V32" s="150"/>
      <c r="W32" s="148"/>
      <c r="X32" s="149"/>
      <c r="Y32" s="149"/>
      <c r="Z32" s="150"/>
      <c r="AA32" s="148"/>
      <c r="AB32" s="149"/>
      <c r="AC32" s="149"/>
      <c r="AD32" s="150"/>
      <c r="AE32" s="145"/>
      <c r="AF32" s="147"/>
    </row>
    <row r="33" spans="1:35" s="1" customFormat="1" ht="7.5" customHeight="1">
      <c r="A33" s="140" t="s">
        <v>34</v>
      </c>
      <c r="B33" s="142" t="str">
        <f>'Guarita G3'!C108</f>
        <v>Revestimento externo</v>
      </c>
      <c r="C33" s="7"/>
      <c r="D33" s="8"/>
      <c r="E33" s="8"/>
      <c r="F33" s="9"/>
      <c r="G33" s="127"/>
      <c r="H33" s="129"/>
      <c r="I33" s="8"/>
      <c r="J33" s="9"/>
      <c r="K33" s="7"/>
      <c r="L33" s="8"/>
      <c r="M33" s="8"/>
      <c r="N33" s="9"/>
      <c r="O33" s="7"/>
      <c r="P33" s="8"/>
      <c r="Q33" s="8"/>
      <c r="R33" s="9"/>
      <c r="S33" s="7"/>
      <c r="T33" s="8"/>
      <c r="U33" s="8"/>
      <c r="V33" s="9"/>
      <c r="W33" s="7"/>
      <c r="X33" s="8"/>
      <c r="Y33" s="8"/>
      <c r="Z33" s="9"/>
      <c r="AA33" s="7"/>
      <c r="AB33" s="8"/>
      <c r="AC33" s="8"/>
      <c r="AD33" s="9"/>
      <c r="AE33" s="144"/>
      <c r="AF33" s="146" t="str">
        <f>IFERROR(AE33/AE$11,"")</f>
        <v/>
      </c>
    </row>
    <row r="34" spans="1:35" s="1" customFormat="1">
      <c r="A34" s="141"/>
      <c r="B34" s="143"/>
      <c r="C34" s="148"/>
      <c r="D34" s="149"/>
      <c r="E34" s="149"/>
      <c r="F34" s="150"/>
      <c r="G34" s="148"/>
      <c r="H34" s="149"/>
      <c r="I34" s="149"/>
      <c r="J34" s="150"/>
      <c r="K34" s="148"/>
      <c r="L34" s="149"/>
      <c r="M34" s="149"/>
      <c r="N34" s="150"/>
      <c r="O34" s="148"/>
      <c r="P34" s="149"/>
      <c r="Q34" s="149"/>
      <c r="R34" s="150"/>
      <c r="S34" s="148"/>
      <c r="T34" s="149"/>
      <c r="U34" s="149"/>
      <c r="V34" s="150"/>
      <c r="W34" s="148"/>
      <c r="X34" s="149"/>
      <c r="Y34" s="149"/>
      <c r="Z34" s="150"/>
      <c r="AA34" s="148"/>
      <c r="AB34" s="149"/>
      <c r="AC34" s="149"/>
      <c r="AD34" s="150"/>
      <c r="AE34" s="145"/>
      <c r="AF34" s="147"/>
    </row>
    <row r="35" spans="1:35" s="1" customFormat="1" ht="7.5" customHeight="1">
      <c r="A35" s="140" t="s">
        <v>34</v>
      </c>
      <c r="B35" s="142" t="str">
        <f>'Guarita G3'!C113</f>
        <v>Combate a Incêndio</v>
      </c>
      <c r="C35" s="7"/>
      <c r="D35" s="8"/>
      <c r="E35" s="8"/>
      <c r="F35" s="9"/>
      <c r="G35" s="7"/>
      <c r="H35" s="8"/>
      <c r="I35" s="8"/>
      <c r="J35" s="130"/>
      <c r="K35" s="7"/>
      <c r="L35" s="8"/>
      <c r="M35" s="8"/>
      <c r="N35" s="9"/>
      <c r="O35" s="7"/>
      <c r="P35" s="8"/>
      <c r="Q35" s="8"/>
      <c r="R35" s="9"/>
      <c r="S35" s="7"/>
      <c r="T35" s="8"/>
      <c r="U35" s="8"/>
      <c r="V35" s="9"/>
      <c r="W35" s="7"/>
      <c r="X35" s="8"/>
      <c r="Y35" s="8"/>
      <c r="Z35" s="9"/>
      <c r="AA35" s="7"/>
      <c r="AB35" s="8"/>
      <c r="AC35" s="8"/>
      <c r="AD35" s="9"/>
      <c r="AE35" s="144"/>
      <c r="AF35" s="146" t="str">
        <f>IFERROR(AE35/AE$11,"")</f>
        <v/>
      </c>
    </row>
    <row r="36" spans="1:35" s="1" customFormat="1">
      <c r="A36" s="141"/>
      <c r="B36" s="143"/>
      <c r="C36" s="148"/>
      <c r="D36" s="149"/>
      <c r="E36" s="149"/>
      <c r="F36" s="150"/>
      <c r="G36" s="148"/>
      <c r="H36" s="149"/>
      <c r="I36" s="149"/>
      <c r="J36" s="150"/>
      <c r="K36" s="148"/>
      <c r="L36" s="149"/>
      <c r="M36" s="149"/>
      <c r="N36" s="150"/>
      <c r="O36" s="148"/>
      <c r="P36" s="149"/>
      <c r="Q36" s="149"/>
      <c r="R36" s="150"/>
      <c r="S36" s="148"/>
      <c r="T36" s="149"/>
      <c r="U36" s="149"/>
      <c r="V36" s="150"/>
      <c r="W36" s="148"/>
      <c r="X36" s="149"/>
      <c r="Y36" s="149"/>
      <c r="Z36" s="150"/>
      <c r="AA36" s="148"/>
      <c r="AB36" s="149"/>
      <c r="AC36" s="149"/>
      <c r="AD36" s="150"/>
      <c r="AE36" s="145"/>
      <c r="AF36" s="147"/>
    </row>
    <row r="37" spans="1:35" s="1" customFormat="1" ht="7.5" customHeight="1">
      <c r="A37" s="151">
        <v>3</v>
      </c>
      <c r="B37" s="153" t="str">
        <f>Resumo!B9</f>
        <v>Guarita G1</v>
      </c>
      <c r="C37" s="4"/>
      <c r="D37" s="5"/>
      <c r="E37" s="5"/>
      <c r="F37" s="6"/>
      <c r="G37" s="4"/>
      <c r="H37" s="5"/>
      <c r="I37" s="5"/>
      <c r="J37" s="6"/>
      <c r="K37" s="4"/>
      <c r="L37" s="5"/>
      <c r="M37" s="5"/>
      <c r="N37" s="6"/>
      <c r="O37" s="4"/>
      <c r="P37" s="5"/>
      <c r="Q37" s="5"/>
      <c r="R37" s="6"/>
      <c r="S37" s="4"/>
      <c r="T37" s="5"/>
      <c r="U37" s="5"/>
      <c r="V37" s="6"/>
      <c r="W37" s="4"/>
      <c r="X37" s="5"/>
      <c r="Y37" s="5"/>
      <c r="Z37" s="6"/>
      <c r="AA37" s="4"/>
      <c r="AB37" s="5"/>
      <c r="AC37" s="5"/>
      <c r="AD37" s="6"/>
      <c r="AE37" s="155"/>
      <c r="AF37" s="157" t="e">
        <f>AE37/AE$42</f>
        <v>#DIV/0!</v>
      </c>
    </row>
    <row r="38" spans="1:35" s="1" customFormat="1" ht="14.25">
      <c r="A38" s="152"/>
      <c r="B38" s="154"/>
      <c r="C38" s="159" t="str">
        <f>IFERROR(SUM(C39:F40)/$AE37,"")</f>
        <v/>
      </c>
      <c r="D38" s="160"/>
      <c r="E38" s="160"/>
      <c r="F38" s="161"/>
      <c r="G38" s="159" t="str">
        <f>IFERROR(SUM(G39:J40)/$AE37,"")</f>
        <v/>
      </c>
      <c r="H38" s="160"/>
      <c r="I38" s="160"/>
      <c r="J38" s="161"/>
      <c r="K38" s="162" t="str">
        <f>IFERROR(SUM(K39:N40)/$AE37,"")</f>
        <v/>
      </c>
      <c r="L38" s="163"/>
      <c r="M38" s="163"/>
      <c r="N38" s="164"/>
      <c r="O38" s="162" t="str">
        <f>IFERROR(SUM(O39:R40)/$AE37,"")</f>
        <v/>
      </c>
      <c r="P38" s="163"/>
      <c r="Q38" s="163"/>
      <c r="R38" s="164"/>
      <c r="S38" s="162" t="str">
        <f>IFERROR(SUM(S39:V40)/$AE37,"")</f>
        <v/>
      </c>
      <c r="T38" s="163"/>
      <c r="U38" s="163"/>
      <c r="V38" s="164"/>
      <c r="W38" s="162" t="str">
        <f>IFERROR(SUM(W39:Z40)/$AE37,"")</f>
        <v/>
      </c>
      <c r="X38" s="163"/>
      <c r="Y38" s="163"/>
      <c r="Z38" s="164"/>
      <c r="AA38" s="162" t="str">
        <f>IFERROR(SUM(AA39:AD40)/$AE37,"")</f>
        <v/>
      </c>
      <c r="AB38" s="163"/>
      <c r="AC38" s="163"/>
      <c r="AD38" s="164"/>
      <c r="AE38" s="156"/>
      <c r="AF38" s="158"/>
    </row>
    <row r="39" spans="1:35" s="1" customFormat="1" ht="7.5" customHeight="1">
      <c r="A39" s="140" t="s">
        <v>35</v>
      </c>
      <c r="B39" s="142" t="str">
        <f>'Guarita G1'!C3</f>
        <v>Demolição e retirada</v>
      </c>
      <c r="C39" s="127"/>
      <c r="D39" s="8"/>
      <c r="E39" s="8"/>
      <c r="F39" s="9"/>
      <c r="G39" s="7"/>
      <c r="H39" s="8"/>
      <c r="I39" s="8"/>
      <c r="J39" s="9"/>
      <c r="K39" s="7"/>
      <c r="L39" s="8"/>
      <c r="M39" s="8"/>
      <c r="N39" s="9"/>
      <c r="O39" s="7"/>
      <c r="P39" s="8"/>
      <c r="Q39" s="8"/>
      <c r="R39" s="9"/>
      <c r="S39" s="7"/>
      <c r="T39" s="8"/>
      <c r="U39" s="8"/>
      <c r="V39" s="9"/>
      <c r="W39" s="7"/>
      <c r="X39" s="8"/>
      <c r="Y39" s="8"/>
      <c r="Z39" s="9"/>
      <c r="AA39" s="7"/>
      <c r="AB39" s="8"/>
      <c r="AC39" s="8"/>
      <c r="AD39" s="9"/>
      <c r="AE39" s="144"/>
      <c r="AF39" s="146" t="str">
        <f>IFERROR(AE39/AE$37,"")</f>
        <v/>
      </c>
    </row>
    <row r="40" spans="1:35" s="1" customFormat="1">
      <c r="A40" s="141"/>
      <c r="B40" s="143"/>
      <c r="C40" s="148">
        <f>AE39</f>
        <v>0</v>
      </c>
      <c r="D40" s="149"/>
      <c r="E40" s="149"/>
      <c r="F40" s="150"/>
      <c r="G40" s="148"/>
      <c r="H40" s="149"/>
      <c r="I40" s="149"/>
      <c r="J40" s="150"/>
      <c r="K40" s="148"/>
      <c r="L40" s="149"/>
      <c r="M40" s="149"/>
      <c r="N40" s="150"/>
      <c r="O40" s="148"/>
      <c r="P40" s="149"/>
      <c r="Q40" s="149"/>
      <c r="R40" s="150"/>
      <c r="S40" s="148"/>
      <c r="T40" s="149"/>
      <c r="U40" s="149"/>
      <c r="V40" s="150"/>
      <c r="W40" s="148"/>
      <c r="X40" s="149"/>
      <c r="Y40" s="149"/>
      <c r="Z40" s="150"/>
      <c r="AA40" s="148"/>
      <c r="AB40" s="149"/>
      <c r="AC40" s="149"/>
      <c r="AD40" s="150"/>
      <c r="AE40" s="145"/>
      <c r="AF40" s="147"/>
    </row>
    <row r="41" spans="1:35" s="1" customFormat="1" ht="9.9499999999999993" customHeight="1">
      <c r="A41" s="10"/>
      <c r="B41" s="11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3"/>
      <c r="AF41" s="14"/>
    </row>
    <row r="42" spans="1:35" s="1" customFormat="1" ht="14.25">
      <c r="A42" s="188" t="s">
        <v>9</v>
      </c>
      <c r="B42" s="189"/>
      <c r="C42" s="174"/>
      <c r="D42" s="175"/>
      <c r="E42" s="175"/>
      <c r="F42" s="175"/>
      <c r="G42" s="174">
        <f>SUM(G6:J10)+SUM(G14:J36)+SUM(G39:J40)</f>
        <v>0</v>
      </c>
      <c r="H42" s="175"/>
      <c r="I42" s="175"/>
      <c r="J42" s="175"/>
      <c r="K42" s="174">
        <f t="shared" ref="K42" si="0">SUM(K6:N10)+SUM(K14:N36)+SUM(K39:N40)</f>
        <v>0</v>
      </c>
      <c r="L42" s="175"/>
      <c r="M42" s="175"/>
      <c r="N42" s="175"/>
      <c r="O42" s="174">
        <f t="shared" ref="O42" si="1">SUM(O6:R10)+SUM(O14:R36)+SUM(O39:R40)</f>
        <v>0</v>
      </c>
      <c r="P42" s="175"/>
      <c r="Q42" s="175"/>
      <c r="R42" s="175"/>
      <c r="S42" s="174">
        <f t="shared" ref="S42" si="2">SUM(S6:V10)+SUM(S14:V36)+SUM(S39:V40)</f>
        <v>0</v>
      </c>
      <c r="T42" s="175"/>
      <c r="U42" s="175"/>
      <c r="V42" s="175"/>
      <c r="W42" s="174">
        <f t="shared" ref="W42" si="3">SUM(W6:Z10)+SUM(W14:Z36)+SUM(W39:Z40)</f>
        <v>0</v>
      </c>
      <c r="X42" s="175"/>
      <c r="Y42" s="175"/>
      <c r="Z42" s="175"/>
      <c r="AA42" s="174">
        <f t="shared" ref="AA42" si="4">SUM(AA6:AD10)+SUM(AA14:AD36)+SUM(AA39:AD40)</f>
        <v>0</v>
      </c>
      <c r="AB42" s="175"/>
      <c r="AC42" s="175"/>
      <c r="AD42" s="175"/>
      <c r="AE42" s="93"/>
      <c r="AF42" s="96"/>
    </row>
    <row r="43" spans="1:35" s="1" customFormat="1" ht="14.25">
      <c r="A43" s="195" t="s">
        <v>10</v>
      </c>
      <c r="B43" s="196"/>
      <c r="C43" s="168">
        <f>C42*$AI43</f>
        <v>0</v>
      </c>
      <c r="D43" s="169"/>
      <c r="E43" s="169"/>
      <c r="F43" s="169"/>
      <c r="G43" s="165">
        <f>G42*$AI43</f>
        <v>0</v>
      </c>
      <c r="H43" s="166"/>
      <c r="I43" s="166"/>
      <c r="J43" s="167"/>
      <c r="K43" s="165">
        <f t="shared" ref="K43" si="5">K42*$AI43</f>
        <v>0</v>
      </c>
      <c r="L43" s="166"/>
      <c r="M43" s="166"/>
      <c r="N43" s="167"/>
      <c r="O43" s="165">
        <f t="shared" ref="O43" si="6">O42*$AI43</f>
        <v>0</v>
      </c>
      <c r="P43" s="166"/>
      <c r="Q43" s="166"/>
      <c r="R43" s="167"/>
      <c r="S43" s="165">
        <f t="shared" ref="S43" si="7">S42*$AI43</f>
        <v>0</v>
      </c>
      <c r="T43" s="166"/>
      <c r="U43" s="166"/>
      <c r="V43" s="167"/>
      <c r="W43" s="165">
        <f t="shared" ref="W43" si="8">W42*$AI43</f>
        <v>0</v>
      </c>
      <c r="X43" s="166"/>
      <c r="Y43" s="166"/>
      <c r="Z43" s="167"/>
      <c r="AA43" s="165">
        <f t="shared" ref="AA43" si="9">AA42*$AI43</f>
        <v>0</v>
      </c>
      <c r="AB43" s="166"/>
      <c r="AC43" s="166"/>
      <c r="AD43" s="167"/>
      <c r="AE43" s="94">
        <f>AE42*AI43</f>
        <v>0</v>
      </c>
      <c r="AF43" s="97"/>
      <c r="AI43" s="126">
        <f>'calculo BDI'!C36</f>
        <v>6.2300000000000001E-2</v>
      </c>
    </row>
    <row r="44" spans="1:35" s="1" customFormat="1" ht="14.25">
      <c r="A44" s="195" t="str">
        <f>CONCATENATE("BDI ",AI44*100,"%")</f>
        <v>BDI 25,65%</v>
      </c>
      <c r="B44" s="196"/>
      <c r="C44" s="168">
        <f>(C43+C42)*$AI44</f>
        <v>0</v>
      </c>
      <c r="D44" s="169"/>
      <c r="E44" s="169"/>
      <c r="F44" s="169"/>
      <c r="G44" s="168">
        <f>(G43+G42)*$AI44</f>
        <v>0</v>
      </c>
      <c r="H44" s="169"/>
      <c r="I44" s="169"/>
      <c r="J44" s="169"/>
      <c r="K44" s="168">
        <f t="shared" ref="K44" si="10">(K43+K42)*$AI44</f>
        <v>0</v>
      </c>
      <c r="L44" s="169"/>
      <c r="M44" s="169"/>
      <c r="N44" s="169"/>
      <c r="O44" s="168">
        <f t="shared" ref="O44" si="11">(O43+O42)*$AI44</f>
        <v>0</v>
      </c>
      <c r="P44" s="169"/>
      <c r="Q44" s="169"/>
      <c r="R44" s="169"/>
      <c r="S44" s="168">
        <f t="shared" ref="S44" si="12">(S43+S42)*$AI44</f>
        <v>0</v>
      </c>
      <c r="T44" s="169"/>
      <c r="U44" s="169"/>
      <c r="V44" s="169"/>
      <c r="W44" s="168">
        <f t="shared" ref="W44" si="13">(W43+W42)*$AI44</f>
        <v>0</v>
      </c>
      <c r="X44" s="169"/>
      <c r="Y44" s="169"/>
      <c r="Z44" s="169"/>
      <c r="AA44" s="168">
        <f t="shared" ref="AA44" si="14">(AA43+AA42)*$AI44</f>
        <v>0</v>
      </c>
      <c r="AB44" s="169"/>
      <c r="AC44" s="169"/>
      <c r="AD44" s="169"/>
      <c r="AE44" s="94">
        <f>(AE43+AE42)*AI44</f>
        <v>0</v>
      </c>
      <c r="AF44" s="97"/>
      <c r="AI44" s="126">
        <f>'calculo BDI'!C26</f>
        <v>0.25650000000000001</v>
      </c>
    </row>
    <row r="45" spans="1:35" s="1" customFormat="1">
      <c r="A45" s="193" t="s">
        <v>11</v>
      </c>
      <c r="B45" s="194"/>
      <c r="C45" s="170">
        <f>SUM(C42:F44)</f>
        <v>0</v>
      </c>
      <c r="D45" s="170"/>
      <c r="E45" s="170"/>
      <c r="F45" s="170"/>
      <c r="G45" s="170">
        <f>SUM(G42:J44)</f>
        <v>0</v>
      </c>
      <c r="H45" s="170"/>
      <c r="I45" s="170"/>
      <c r="J45" s="170"/>
      <c r="K45" s="170">
        <f>SUM(K42:N44)</f>
        <v>0</v>
      </c>
      <c r="L45" s="170"/>
      <c r="M45" s="170"/>
      <c r="N45" s="170"/>
      <c r="O45" s="170">
        <f>SUM(O42:R44)</f>
        <v>0</v>
      </c>
      <c r="P45" s="170"/>
      <c r="Q45" s="170"/>
      <c r="R45" s="170"/>
      <c r="S45" s="170">
        <f>SUM(S42:V44)</f>
        <v>0</v>
      </c>
      <c r="T45" s="170"/>
      <c r="U45" s="170"/>
      <c r="V45" s="170"/>
      <c r="W45" s="170">
        <f>SUM(W42:Z44)</f>
        <v>0</v>
      </c>
      <c r="X45" s="170"/>
      <c r="Y45" s="170"/>
      <c r="Z45" s="170"/>
      <c r="AA45" s="170">
        <f>SUM(AA42:AD44)</f>
        <v>0</v>
      </c>
      <c r="AB45" s="170"/>
      <c r="AC45" s="170"/>
      <c r="AD45" s="170"/>
      <c r="AE45" s="95">
        <f>SUM(AE42:AE44)</f>
        <v>0</v>
      </c>
      <c r="AF45" s="98"/>
    </row>
    <row r="46" spans="1:35" s="1" customFormat="1" ht="9.9499999999999993" customHeight="1">
      <c r="A46" s="15"/>
      <c r="AE46" s="16"/>
      <c r="AF46" s="17"/>
    </row>
    <row r="47" spans="1:35" s="1" customFormat="1" ht="14.25">
      <c r="A47" s="190" t="s">
        <v>12</v>
      </c>
      <c r="B47" s="191"/>
      <c r="C47" s="192"/>
      <c r="D47" s="192"/>
      <c r="E47" s="192"/>
      <c r="F47" s="192"/>
      <c r="G47" s="171"/>
      <c r="H47" s="172"/>
      <c r="I47" s="172"/>
      <c r="J47" s="173"/>
      <c r="K47" s="171"/>
      <c r="L47" s="172"/>
      <c r="M47" s="172"/>
      <c r="N47" s="173"/>
      <c r="O47" s="171"/>
      <c r="P47" s="172"/>
      <c r="Q47" s="172"/>
      <c r="R47" s="173"/>
      <c r="S47" s="171"/>
      <c r="T47" s="172"/>
      <c r="U47" s="172"/>
      <c r="V47" s="173"/>
      <c r="W47" s="171"/>
      <c r="X47" s="172"/>
      <c r="Y47" s="172"/>
      <c r="Z47" s="173"/>
      <c r="AA47" s="171"/>
      <c r="AB47" s="172"/>
      <c r="AC47" s="172"/>
      <c r="AD47" s="173"/>
      <c r="AE47" s="93"/>
      <c r="AF47" s="99"/>
    </row>
    <row r="48" spans="1:35" s="1" customFormat="1" ht="30" customHeight="1">
      <c r="A48" s="193" t="s">
        <v>13</v>
      </c>
      <c r="B48" s="194"/>
      <c r="C48" s="170">
        <f>C47+C45</f>
        <v>0</v>
      </c>
      <c r="D48" s="170"/>
      <c r="E48" s="170"/>
      <c r="F48" s="170"/>
      <c r="G48" s="170">
        <f>G45+G47</f>
        <v>0</v>
      </c>
      <c r="H48" s="170"/>
      <c r="I48" s="170"/>
      <c r="J48" s="170"/>
      <c r="K48" s="170">
        <f>K45+K47</f>
        <v>0</v>
      </c>
      <c r="L48" s="170"/>
      <c r="M48" s="170"/>
      <c r="N48" s="170"/>
      <c r="O48" s="170">
        <f>O45+O47</f>
        <v>0</v>
      </c>
      <c r="P48" s="170"/>
      <c r="Q48" s="170"/>
      <c r="R48" s="170"/>
      <c r="S48" s="170">
        <f>S45+S47</f>
        <v>0</v>
      </c>
      <c r="T48" s="170"/>
      <c r="U48" s="170"/>
      <c r="V48" s="170"/>
      <c r="W48" s="170">
        <f>W45+W47</f>
        <v>0</v>
      </c>
      <c r="X48" s="170"/>
      <c r="Y48" s="170"/>
      <c r="Z48" s="170"/>
      <c r="AA48" s="170">
        <f>AA45+AA47</f>
        <v>0</v>
      </c>
      <c r="AB48" s="170"/>
      <c r="AC48" s="170"/>
      <c r="AD48" s="170"/>
      <c r="AE48" s="95">
        <f>AE45+AE47</f>
        <v>0</v>
      </c>
      <c r="AF48" s="98"/>
    </row>
  </sheetData>
  <mergeCells count="268">
    <mergeCell ref="A19:A20"/>
    <mergeCell ref="B19:B20"/>
    <mergeCell ref="AE19:AE20"/>
    <mergeCell ref="AF19:AF20"/>
    <mergeCell ref="C20:F20"/>
    <mergeCell ref="G20:J20"/>
    <mergeCell ref="K20:N20"/>
    <mergeCell ref="O20:R20"/>
    <mergeCell ref="S20:V20"/>
    <mergeCell ref="W20:Z20"/>
    <mergeCell ref="AA20:AD20"/>
    <mergeCell ref="A17:A18"/>
    <mergeCell ref="B17:B18"/>
    <mergeCell ref="AE17:AE18"/>
    <mergeCell ref="AF17:AF18"/>
    <mergeCell ref="C18:F18"/>
    <mergeCell ref="G18:J18"/>
    <mergeCell ref="K18:N18"/>
    <mergeCell ref="O18:R18"/>
    <mergeCell ref="S18:V18"/>
    <mergeCell ref="W18:Z18"/>
    <mergeCell ref="AA18:AD18"/>
    <mergeCell ref="A15:A16"/>
    <mergeCell ref="B15:B16"/>
    <mergeCell ref="AE15:AE16"/>
    <mergeCell ref="AF15:AF16"/>
    <mergeCell ref="C16:F16"/>
    <mergeCell ref="G16:J16"/>
    <mergeCell ref="K16:N16"/>
    <mergeCell ref="O16:R16"/>
    <mergeCell ref="S16:V16"/>
    <mergeCell ref="W16:Z16"/>
    <mergeCell ref="AA16:AD16"/>
    <mergeCell ref="A42:B42"/>
    <mergeCell ref="C42:F42"/>
    <mergeCell ref="G42:J42"/>
    <mergeCell ref="A47:B47"/>
    <mergeCell ref="C47:F47"/>
    <mergeCell ref="G47:J47"/>
    <mergeCell ref="K47:N47"/>
    <mergeCell ref="A48:B48"/>
    <mergeCell ref="C48:F48"/>
    <mergeCell ref="G48:J48"/>
    <mergeCell ref="K48:N48"/>
    <mergeCell ref="A43:B43"/>
    <mergeCell ref="C43:F43"/>
    <mergeCell ref="G43:J43"/>
    <mergeCell ref="K43:N43"/>
    <mergeCell ref="A44:B44"/>
    <mergeCell ref="C44:F44"/>
    <mergeCell ref="G44:J44"/>
    <mergeCell ref="K44:N44"/>
    <mergeCell ref="A45:B45"/>
    <mergeCell ref="C45:F45"/>
    <mergeCell ref="G45:J45"/>
    <mergeCell ref="K45:N45"/>
    <mergeCell ref="K42:N42"/>
    <mergeCell ref="AF7:AF8"/>
    <mergeCell ref="C8:F8"/>
    <mergeCell ref="G8:J8"/>
    <mergeCell ref="K8:N8"/>
    <mergeCell ref="AF5:AF6"/>
    <mergeCell ref="C6:F6"/>
    <mergeCell ref="G6:J6"/>
    <mergeCell ref="K6:N6"/>
    <mergeCell ref="A13:A14"/>
    <mergeCell ref="B13:B14"/>
    <mergeCell ref="AE13:AE14"/>
    <mergeCell ref="AF13:AF14"/>
    <mergeCell ref="C14:F14"/>
    <mergeCell ref="G14:J14"/>
    <mergeCell ref="K14:N14"/>
    <mergeCell ref="A11:A12"/>
    <mergeCell ref="B11:B12"/>
    <mergeCell ref="AE11:AE12"/>
    <mergeCell ref="AF11:AF12"/>
    <mergeCell ref="C12:F12"/>
    <mergeCell ref="G12:J12"/>
    <mergeCell ref="K12:N12"/>
    <mergeCell ref="O12:R12"/>
    <mergeCell ref="O14:R14"/>
    <mergeCell ref="A7:A8"/>
    <mergeCell ref="B7:B8"/>
    <mergeCell ref="AE7:AE8"/>
    <mergeCell ref="A5:A6"/>
    <mergeCell ref="B5:B6"/>
    <mergeCell ref="W6:Z6"/>
    <mergeCell ref="AA6:AD6"/>
    <mergeCell ref="A3:A4"/>
    <mergeCell ref="B3:B4"/>
    <mergeCell ref="AE3:AE4"/>
    <mergeCell ref="AA8:AD8"/>
    <mergeCell ref="AE5:AE6"/>
    <mergeCell ref="A1:A2"/>
    <mergeCell ref="B1:B2"/>
    <mergeCell ref="AE1:AF1"/>
    <mergeCell ref="C2:F2"/>
    <mergeCell ref="G2:J2"/>
    <mergeCell ref="K2:N2"/>
    <mergeCell ref="AF3:AF4"/>
    <mergeCell ref="C4:F4"/>
    <mergeCell ref="G4:J4"/>
    <mergeCell ref="K4:N4"/>
    <mergeCell ref="O2:R2"/>
    <mergeCell ref="O4:R4"/>
    <mergeCell ref="W2:Z2"/>
    <mergeCell ref="W4:Z4"/>
    <mergeCell ref="C1:AD1"/>
    <mergeCell ref="AA2:AD2"/>
    <mergeCell ref="AA4:AD4"/>
    <mergeCell ref="S2:V2"/>
    <mergeCell ref="S4:V4"/>
    <mergeCell ref="O45:R45"/>
    <mergeCell ref="O47:R47"/>
    <mergeCell ref="O48:R48"/>
    <mergeCell ref="S6:V6"/>
    <mergeCell ref="S48:V48"/>
    <mergeCell ref="S8:V8"/>
    <mergeCell ref="S43:V43"/>
    <mergeCell ref="S44:V44"/>
    <mergeCell ref="S45:V45"/>
    <mergeCell ref="O6:R6"/>
    <mergeCell ref="O8:R8"/>
    <mergeCell ref="O42:R42"/>
    <mergeCell ref="S42:V42"/>
    <mergeCell ref="S47:V47"/>
    <mergeCell ref="S12:V12"/>
    <mergeCell ref="S14:V14"/>
    <mergeCell ref="O43:R43"/>
    <mergeCell ref="O44:R44"/>
    <mergeCell ref="W43:Z43"/>
    <mergeCell ref="W44:Z44"/>
    <mergeCell ref="W45:Z45"/>
    <mergeCell ref="W47:Z47"/>
    <mergeCell ref="W48:Z48"/>
    <mergeCell ref="W8:Z8"/>
    <mergeCell ref="W42:Z42"/>
    <mergeCell ref="AA42:AD42"/>
    <mergeCell ref="AA43:AD43"/>
    <mergeCell ref="AA44:AD44"/>
    <mergeCell ref="AA45:AD45"/>
    <mergeCell ref="AA47:AD47"/>
    <mergeCell ref="AA48:AD48"/>
    <mergeCell ref="W12:Z12"/>
    <mergeCell ref="W14:Z14"/>
    <mergeCell ref="AA12:AD12"/>
    <mergeCell ref="AA14:AD14"/>
    <mergeCell ref="A33:A34"/>
    <mergeCell ref="AE33:AE34"/>
    <mergeCell ref="AF33:AF34"/>
    <mergeCell ref="C34:F34"/>
    <mergeCell ref="G34:J34"/>
    <mergeCell ref="K34:N34"/>
    <mergeCell ref="O34:R34"/>
    <mergeCell ref="S34:V34"/>
    <mergeCell ref="W34:Z34"/>
    <mergeCell ref="AA34:AD34"/>
    <mergeCell ref="B33:B34"/>
    <mergeCell ref="A35:A36"/>
    <mergeCell ref="AE35:AE36"/>
    <mergeCell ref="AF35:AF36"/>
    <mergeCell ref="C36:F36"/>
    <mergeCell ref="G36:J36"/>
    <mergeCell ref="K36:N36"/>
    <mergeCell ref="O36:R36"/>
    <mergeCell ref="S36:V36"/>
    <mergeCell ref="W36:Z36"/>
    <mergeCell ref="AA36:AD36"/>
    <mergeCell ref="B35:B36"/>
    <mergeCell ref="A9:A10"/>
    <mergeCell ref="B9:B10"/>
    <mergeCell ref="AE9:AE10"/>
    <mergeCell ref="AF9:AF10"/>
    <mergeCell ref="C10:F10"/>
    <mergeCell ref="G10:J10"/>
    <mergeCell ref="K10:N10"/>
    <mergeCell ref="O10:R10"/>
    <mergeCell ref="S10:V10"/>
    <mergeCell ref="W10:Z10"/>
    <mergeCell ref="AA10:AD10"/>
    <mergeCell ref="A37:A38"/>
    <mergeCell ref="B37:B38"/>
    <mergeCell ref="AE37:AE38"/>
    <mergeCell ref="AF37:AF38"/>
    <mergeCell ref="C38:F38"/>
    <mergeCell ref="G38:J38"/>
    <mergeCell ref="K38:N38"/>
    <mergeCell ref="O38:R38"/>
    <mergeCell ref="S38:V38"/>
    <mergeCell ref="W38:Z38"/>
    <mergeCell ref="AA38:AD38"/>
    <mergeCell ref="A39:A40"/>
    <mergeCell ref="B39:B40"/>
    <mergeCell ref="AE39:AE40"/>
    <mergeCell ref="AF39:AF40"/>
    <mergeCell ref="C40:F40"/>
    <mergeCell ref="G40:J40"/>
    <mergeCell ref="K40:N40"/>
    <mergeCell ref="O40:R40"/>
    <mergeCell ref="S40:V40"/>
    <mergeCell ref="W40:Z40"/>
    <mergeCell ref="AA40:AD40"/>
    <mergeCell ref="A29:A30"/>
    <mergeCell ref="B29:B30"/>
    <mergeCell ref="AE29:AE30"/>
    <mergeCell ref="AF29:AF30"/>
    <mergeCell ref="C30:F30"/>
    <mergeCell ref="G30:J30"/>
    <mergeCell ref="K30:N30"/>
    <mergeCell ref="O30:R30"/>
    <mergeCell ref="S30:V30"/>
    <mergeCell ref="W30:Z30"/>
    <mergeCell ref="AA30:AD30"/>
    <mergeCell ref="A31:A32"/>
    <mergeCell ref="B31:B32"/>
    <mergeCell ref="AE31:AE32"/>
    <mergeCell ref="AF31:AF32"/>
    <mergeCell ref="C32:F32"/>
    <mergeCell ref="G32:J32"/>
    <mergeCell ref="K32:N32"/>
    <mergeCell ref="O32:R32"/>
    <mergeCell ref="S32:V32"/>
    <mergeCell ref="W32:Z32"/>
    <mergeCell ref="AA32:AD32"/>
    <mergeCell ref="A21:A22"/>
    <mergeCell ref="B21:B22"/>
    <mergeCell ref="AE21:AE22"/>
    <mergeCell ref="AF21:AF22"/>
    <mergeCell ref="C22:F22"/>
    <mergeCell ref="G22:J22"/>
    <mergeCell ref="K22:N22"/>
    <mergeCell ref="O22:R22"/>
    <mergeCell ref="S22:V22"/>
    <mergeCell ref="W22:Z22"/>
    <mergeCell ref="AA22:AD22"/>
    <mergeCell ref="A23:A24"/>
    <mergeCell ref="B23:B24"/>
    <mergeCell ref="AE23:AE24"/>
    <mergeCell ref="AF23:AF24"/>
    <mergeCell ref="C24:F24"/>
    <mergeCell ref="G24:J24"/>
    <mergeCell ref="K24:N24"/>
    <mergeCell ref="O24:R24"/>
    <mergeCell ref="S24:V24"/>
    <mergeCell ref="W24:Z24"/>
    <mergeCell ref="AA24:AD24"/>
    <mergeCell ref="A25:A26"/>
    <mergeCell ref="B25:B26"/>
    <mergeCell ref="AE25:AE26"/>
    <mergeCell ref="AF25:AF26"/>
    <mergeCell ref="C26:F26"/>
    <mergeCell ref="G26:J26"/>
    <mergeCell ref="K26:N26"/>
    <mergeCell ref="O26:R26"/>
    <mergeCell ref="S26:V26"/>
    <mergeCell ref="W26:Z26"/>
    <mergeCell ref="AA26:AD26"/>
    <mergeCell ref="A27:A28"/>
    <mergeCell ref="B27:B28"/>
    <mergeCell ref="AE27:AE28"/>
    <mergeCell ref="AF27:AF28"/>
    <mergeCell ref="C28:F28"/>
    <mergeCell ref="G28:J28"/>
    <mergeCell ref="K28:N28"/>
    <mergeCell ref="O28:R28"/>
    <mergeCell ref="S28:V28"/>
    <mergeCell ref="W28:Z28"/>
    <mergeCell ref="AA28:AD28"/>
  </mergeCells>
  <pageMargins left="0.511811024" right="0.511811024" top="0.78740157499999996" bottom="0.78740157499999996" header="0.31496062000000002" footer="0.31496062000000002"/>
  <pageSetup paperSize="9" scale="70" orientation="landscape" r:id="rId1"/>
  <headerFooter>
    <oddHeader>&amp;C&amp;"-,Negrito"&amp;16PE Itutinga-Pilões - &amp;A
&amp;RCPOS 175 - Mar/2019</oddHeader>
    <oddFooter>&amp;L&amp;"Verdana,Negrito"&amp;8Fundação Florestal&amp;"Verdana,Normal" | Av. Prof. Frederico Hermann Jr 345 | CEP 05459-010
São Paulo, SP | Fone (11) 2997-5000 | www.fflorestal.sp.gov.br&amp;R&amp;G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zoomScaleNormal="100" workbookViewId="0">
      <selection activeCell="C8" sqref="C8"/>
    </sheetView>
  </sheetViews>
  <sheetFormatPr defaultRowHeight="15"/>
  <cols>
    <col min="1" max="1" width="2" style="26" customWidth="1"/>
    <col min="2" max="2" width="59.42578125" style="26" customWidth="1"/>
    <col min="3" max="3" width="22.28515625" style="26" customWidth="1"/>
    <col min="4" max="16384" width="9.140625" style="29"/>
  </cols>
  <sheetData>
    <row r="1" spans="1:3">
      <c r="B1" s="27"/>
      <c r="C1" s="28"/>
    </row>
    <row r="2" spans="1:3">
      <c r="B2" s="30"/>
      <c r="C2" s="31"/>
    </row>
    <row r="3" spans="1:3">
      <c r="B3" s="30"/>
      <c r="C3" s="31"/>
    </row>
    <row r="4" spans="1:3">
      <c r="B4" s="30"/>
      <c r="C4" s="31"/>
    </row>
    <row r="5" spans="1:3">
      <c r="A5" s="32"/>
      <c r="B5" s="33"/>
      <c r="C5" s="34"/>
    </row>
    <row r="6" spans="1:3">
      <c r="A6" s="32"/>
      <c r="B6" s="18" t="s">
        <v>14</v>
      </c>
      <c r="C6" s="19" t="s">
        <v>15</v>
      </c>
    </row>
    <row r="7" spans="1:3">
      <c r="A7" s="35"/>
      <c r="B7" s="36" t="s">
        <v>48</v>
      </c>
      <c r="C7" s="37"/>
    </row>
    <row r="8" spans="1:3">
      <c r="A8" s="35"/>
      <c r="B8" s="36" t="s">
        <v>193</v>
      </c>
      <c r="C8" s="37"/>
    </row>
    <row r="9" spans="1:3">
      <c r="A9" s="35"/>
      <c r="B9" s="36" t="s">
        <v>194</v>
      </c>
      <c r="C9" s="37"/>
    </row>
    <row r="10" spans="1:3">
      <c r="A10" s="35"/>
      <c r="B10" s="36"/>
      <c r="C10" s="37"/>
    </row>
    <row r="11" spans="1:3">
      <c r="A11" s="35"/>
      <c r="B11" s="36"/>
      <c r="C11" s="37"/>
    </row>
    <row r="12" spans="1:3">
      <c r="A12" s="35"/>
      <c r="B12" s="36"/>
      <c r="C12" s="37"/>
    </row>
    <row r="13" spans="1:3">
      <c r="A13" s="35"/>
      <c r="B13" s="36"/>
      <c r="C13" s="37"/>
    </row>
    <row r="14" spans="1:3">
      <c r="A14" s="35"/>
      <c r="B14" s="36"/>
      <c r="C14" s="37"/>
    </row>
    <row r="15" spans="1:3">
      <c r="A15" s="35"/>
      <c r="B15" s="36"/>
      <c r="C15" s="37"/>
    </row>
    <row r="16" spans="1:3">
      <c r="A16" s="35"/>
      <c r="B16" s="36"/>
      <c r="C16" s="37"/>
    </row>
    <row r="17" spans="1:6">
      <c r="A17" s="35"/>
      <c r="B17" s="36"/>
      <c r="C17" s="37"/>
    </row>
    <row r="18" spans="1:6">
      <c r="A18" s="35"/>
      <c r="B18" s="36"/>
      <c r="C18" s="37"/>
    </row>
    <row r="19" spans="1:6">
      <c r="A19" s="35"/>
      <c r="B19" s="36"/>
      <c r="C19" s="37"/>
    </row>
    <row r="20" spans="1:6">
      <c r="A20" s="35"/>
      <c r="B20" s="36"/>
      <c r="C20" s="37"/>
    </row>
    <row r="21" spans="1:6">
      <c r="A21" s="35"/>
      <c r="B21" s="36"/>
      <c r="C21" s="37"/>
    </row>
    <row r="22" spans="1:6">
      <c r="A22" s="35"/>
      <c r="B22" s="36"/>
      <c r="C22" s="37"/>
    </row>
    <row r="23" spans="1:6">
      <c r="A23" s="35"/>
      <c r="B23" s="36"/>
      <c r="C23" s="37"/>
    </row>
    <row r="24" spans="1:6">
      <c r="A24" s="35"/>
      <c r="B24" s="36"/>
      <c r="C24" s="37"/>
    </row>
    <row r="25" spans="1:6">
      <c r="A25" s="35"/>
      <c r="B25" s="36"/>
      <c r="C25" s="37"/>
    </row>
    <row r="26" spans="1:6">
      <c r="A26" s="35"/>
      <c r="B26" s="20" t="s">
        <v>16</v>
      </c>
      <c r="C26" s="21">
        <f>SUM(C7:C25)</f>
        <v>0</v>
      </c>
    </row>
    <row r="27" spans="1:6">
      <c r="A27" s="35"/>
      <c r="B27" s="22" t="str">
        <f>CONCATENATE("Administração Local (",F27*100,"%)")</f>
        <v>Administração Local (6,23%)</v>
      </c>
      <c r="C27" s="23">
        <f>C26*F27</f>
        <v>0</v>
      </c>
      <c r="F27" s="125">
        <f>'calculo BDI'!C36</f>
        <v>6.2300000000000001E-2</v>
      </c>
    </row>
    <row r="28" spans="1:6">
      <c r="A28" s="35"/>
      <c r="B28" s="22" t="str">
        <f>CONCATENATE("Administração Local (",F28*100,"%)")</f>
        <v>Administração Local (25,65%)</v>
      </c>
      <c r="C28" s="23">
        <f>(C27+C26)*F28</f>
        <v>0</v>
      </c>
      <c r="F28" s="125">
        <f>'calculo BDI'!C26</f>
        <v>0.25650000000000001</v>
      </c>
    </row>
    <row r="29" spans="1:6">
      <c r="A29" s="35"/>
      <c r="B29" s="24" t="s">
        <v>17</v>
      </c>
      <c r="C29" s="25">
        <f>SUM(C26:C28)</f>
        <v>0</v>
      </c>
    </row>
    <row r="30" spans="1:6">
      <c r="A30" s="35"/>
      <c r="B30" s="38"/>
      <c r="C30" s="39"/>
    </row>
    <row r="31" spans="1:6">
      <c r="A31" s="35"/>
      <c r="B31" s="38"/>
      <c r="C31" s="39"/>
    </row>
    <row r="32" spans="1:6">
      <c r="A32" s="35"/>
      <c r="B32" s="38"/>
      <c r="C32" s="39"/>
    </row>
    <row r="33" spans="1:3">
      <c r="A33" s="35"/>
      <c r="B33" s="38"/>
      <c r="C33" s="39"/>
    </row>
    <row r="34" spans="1:3">
      <c r="A34" s="40"/>
      <c r="B34" s="38"/>
      <c r="C34" s="39"/>
    </row>
    <row r="35" spans="1:3">
      <c r="A35" s="38"/>
      <c r="B35" s="38"/>
      <c r="C35" s="39"/>
    </row>
    <row r="36" spans="1:3">
      <c r="A36" s="35"/>
      <c r="B36" s="35"/>
      <c r="C36" s="39"/>
    </row>
    <row r="37" spans="1:3">
      <c r="A37" s="38"/>
      <c r="B37" s="38"/>
      <c r="C37" s="39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&amp;L&amp;"Verdana,Negrito"&amp;8Fundação Florestal&amp;"Verdana,Normal" | Av. Prof. Frederico Hermann Jr 345 | CEP 05459-010
São Paulo, SP | Fone (11) 2997-5000 | www.fflorestal.sp.gov.br&amp;R&amp;G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zoomScaleNormal="100" workbookViewId="0">
      <selection activeCell="F16" sqref="F16"/>
    </sheetView>
  </sheetViews>
  <sheetFormatPr defaultRowHeight="15"/>
  <cols>
    <col min="1" max="1" width="6.85546875" bestFit="1" customWidth="1"/>
    <col min="2" max="2" width="18.42578125" bestFit="1" customWidth="1"/>
    <col min="3" max="3" width="102.7109375" bestFit="1" customWidth="1"/>
    <col min="4" max="4" width="10" bestFit="1" customWidth="1"/>
    <col min="5" max="5" width="12.85546875" bestFit="1" customWidth="1"/>
    <col min="6" max="6" width="10.7109375" bestFit="1" customWidth="1"/>
    <col min="7" max="8" width="12.85546875" bestFit="1" customWidth="1"/>
    <col min="9" max="9" width="17.7109375" bestFit="1" customWidth="1"/>
    <col min="12" max="12" width="9.7109375" bestFit="1" customWidth="1"/>
  </cols>
  <sheetData>
    <row r="1" spans="1:9" s="41" customFormat="1" ht="18" customHeight="1">
      <c r="A1" s="199" t="s">
        <v>0</v>
      </c>
      <c r="B1" s="201" t="s">
        <v>18</v>
      </c>
      <c r="C1" s="201" t="s">
        <v>19</v>
      </c>
      <c r="D1" s="203" t="s">
        <v>20</v>
      </c>
      <c r="E1" s="205" t="s">
        <v>21</v>
      </c>
      <c r="F1" s="207" t="s">
        <v>22</v>
      </c>
      <c r="G1" s="207"/>
      <c r="H1" s="207"/>
      <c r="I1" s="208"/>
    </row>
    <row r="2" spans="1:9" s="41" customFormat="1" ht="18" customHeight="1">
      <c r="A2" s="200"/>
      <c r="B2" s="202"/>
      <c r="C2" s="202"/>
      <c r="D2" s="204"/>
      <c r="E2" s="206"/>
      <c r="F2" s="42" t="s">
        <v>23</v>
      </c>
      <c r="G2" s="42" t="s">
        <v>24</v>
      </c>
      <c r="H2" s="42" t="s">
        <v>25</v>
      </c>
      <c r="I2" s="43" t="s">
        <v>16</v>
      </c>
    </row>
    <row r="3" spans="1:9" s="41" customFormat="1" ht="15" customHeight="1">
      <c r="A3" s="44">
        <v>1</v>
      </c>
      <c r="B3" s="45"/>
      <c r="C3" s="46" t="s">
        <v>49</v>
      </c>
      <c r="D3" s="47"/>
      <c r="E3" s="48"/>
      <c r="F3" s="48"/>
      <c r="G3" s="48"/>
      <c r="H3" s="49"/>
      <c r="I3" s="50">
        <f>SUM(I4:I8)</f>
        <v>0</v>
      </c>
    </row>
    <row r="4" spans="1:9" s="41" customFormat="1" ht="14.25">
      <c r="A4" s="51" t="s">
        <v>29</v>
      </c>
      <c r="B4" s="89" t="s">
        <v>50</v>
      </c>
      <c r="C4" s="90" t="s">
        <v>51</v>
      </c>
      <c r="D4" s="91" t="s">
        <v>53</v>
      </c>
      <c r="E4" s="91">
        <v>6</v>
      </c>
      <c r="F4" s="92"/>
      <c r="G4" s="92"/>
      <c r="H4" s="53">
        <f t="shared" ref="H4" si="0">F4+G4</f>
        <v>0</v>
      </c>
      <c r="I4" s="54">
        <f t="shared" ref="I4" si="1">E4*H4</f>
        <v>0</v>
      </c>
    </row>
    <row r="5" spans="1:9" s="41" customFormat="1" ht="14.25">
      <c r="A5" s="51" t="s">
        <v>30</v>
      </c>
      <c r="B5" s="89" t="s">
        <v>288</v>
      </c>
      <c r="C5" s="90" t="s">
        <v>289</v>
      </c>
      <c r="D5" s="91" t="s">
        <v>52</v>
      </c>
      <c r="E5" s="91">
        <v>2</v>
      </c>
      <c r="F5" s="92"/>
      <c r="G5" s="92"/>
      <c r="H5" s="53">
        <f t="shared" ref="H5:H7" si="2">F5+G5</f>
        <v>0</v>
      </c>
      <c r="I5" s="54">
        <f t="shared" ref="I5:I7" si="3">E5*H5</f>
        <v>0</v>
      </c>
    </row>
    <row r="6" spans="1:9" s="41" customFormat="1" ht="15" customHeight="1">
      <c r="A6" s="51" t="s">
        <v>31</v>
      </c>
      <c r="B6" s="89" t="s">
        <v>56</v>
      </c>
      <c r="C6" s="90" t="s">
        <v>57</v>
      </c>
      <c r="D6" s="91" t="s">
        <v>53</v>
      </c>
      <c r="E6" s="91">
        <f>ROUNDUP(2*(8),0)</f>
        <v>16</v>
      </c>
      <c r="F6" s="92"/>
      <c r="G6" s="92"/>
      <c r="H6" s="53">
        <f t="shared" si="2"/>
        <v>0</v>
      </c>
      <c r="I6" s="54">
        <f t="shared" si="3"/>
        <v>0</v>
      </c>
    </row>
    <row r="7" spans="1:9" s="41" customFormat="1" ht="15" customHeight="1">
      <c r="A7" s="51" t="s">
        <v>32</v>
      </c>
      <c r="B7" s="89" t="s">
        <v>54</v>
      </c>
      <c r="C7" s="90" t="s">
        <v>55</v>
      </c>
      <c r="D7" s="91" t="s">
        <v>53</v>
      </c>
      <c r="E7" s="91">
        <v>10</v>
      </c>
      <c r="F7" s="92"/>
      <c r="G7" s="92"/>
      <c r="H7" s="53">
        <f t="shared" si="2"/>
        <v>0</v>
      </c>
      <c r="I7" s="54">
        <f t="shared" si="3"/>
        <v>0</v>
      </c>
    </row>
    <row r="8" spans="1:9" s="41" customFormat="1" ht="15" customHeight="1">
      <c r="A8" s="51"/>
      <c r="B8" s="55"/>
      <c r="C8" s="56"/>
      <c r="D8" s="55"/>
      <c r="E8" s="57"/>
      <c r="F8" s="52"/>
      <c r="G8" s="53"/>
      <c r="H8" s="53">
        <f t="shared" ref="H8" si="4">F8+G8</f>
        <v>0</v>
      </c>
      <c r="I8" s="54">
        <f t="shared" ref="I8" si="5">H8*E8</f>
        <v>0</v>
      </c>
    </row>
    <row r="9" spans="1:9" s="41" customFormat="1" ht="15" customHeight="1">
      <c r="A9" s="44">
        <v>2</v>
      </c>
      <c r="B9" s="45"/>
      <c r="C9" s="46" t="s">
        <v>64</v>
      </c>
      <c r="D9" s="47"/>
      <c r="E9" s="48"/>
      <c r="F9" s="48"/>
      <c r="G9" s="48"/>
      <c r="H9" s="49"/>
      <c r="I9" s="50">
        <f>SUM(I10:I13)</f>
        <v>0</v>
      </c>
    </row>
    <row r="10" spans="1:9" s="41" customFormat="1" ht="25.5">
      <c r="A10" s="58" t="s">
        <v>26</v>
      </c>
      <c r="B10" s="89" t="s">
        <v>66</v>
      </c>
      <c r="C10" s="90" t="s">
        <v>67</v>
      </c>
      <c r="D10" s="91" t="s">
        <v>41</v>
      </c>
      <c r="E10" s="91">
        <v>1</v>
      </c>
      <c r="F10" s="92">
        <v>0</v>
      </c>
      <c r="G10" s="92"/>
      <c r="H10" s="53">
        <f t="shared" ref="H10:H11" si="6">F10+G10</f>
        <v>0</v>
      </c>
      <c r="I10" s="54">
        <f t="shared" ref="I10:I11" si="7">E10*H10</f>
        <v>0</v>
      </c>
    </row>
    <row r="11" spans="1:9" s="41" customFormat="1" ht="15" customHeight="1">
      <c r="A11" s="58" t="s">
        <v>34</v>
      </c>
      <c r="B11" s="89" t="s">
        <v>70</v>
      </c>
      <c r="C11" s="90" t="s">
        <v>71</v>
      </c>
      <c r="D11" s="91" t="s">
        <v>41</v>
      </c>
      <c r="E11" s="91">
        <v>1</v>
      </c>
      <c r="F11" s="92">
        <v>0</v>
      </c>
      <c r="G11" s="92"/>
      <c r="H11" s="53">
        <f t="shared" si="6"/>
        <v>0</v>
      </c>
      <c r="I11" s="54">
        <f t="shared" si="7"/>
        <v>0</v>
      </c>
    </row>
    <row r="12" spans="1:9" s="41" customFormat="1" ht="15" customHeight="1">
      <c r="A12" s="58" t="s">
        <v>61</v>
      </c>
      <c r="B12" s="89" t="s">
        <v>333</v>
      </c>
      <c r="C12" s="90" t="s">
        <v>334</v>
      </c>
      <c r="D12" s="91" t="s">
        <v>41</v>
      </c>
      <c r="E12" s="91">
        <v>1</v>
      </c>
      <c r="F12" s="92">
        <v>0</v>
      </c>
      <c r="G12" s="92"/>
      <c r="H12" s="53">
        <f t="shared" ref="H12:H13" si="8">F12+G12</f>
        <v>0</v>
      </c>
      <c r="I12" s="54">
        <f t="shared" ref="I12:I13" si="9">E12*H12</f>
        <v>0</v>
      </c>
    </row>
    <row r="13" spans="1:9" s="41" customFormat="1" ht="15" customHeight="1">
      <c r="A13" s="58" t="s">
        <v>62</v>
      </c>
      <c r="B13" s="89" t="s">
        <v>68</v>
      </c>
      <c r="C13" s="90" t="s">
        <v>69</v>
      </c>
      <c r="D13" s="91" t="s">
        <v>41</v>
      </c>
      <c r="E13" s="91">
        <v>1</v>
      </c>
      <c r="F13" s="92">
        <v>0</v>
      </c>
      <c r="G13" s="92"/>
      <c r="H13" s="53">
        <f t="shared" si="8"/>
        <v>0</v>
      </c>
      <c r="I13" s="54">
        <f t="shared" si="9"/>
        <v>0</v>
      </c>
    </row>
    <row r="14" spans="1:9" s="41" customFormat="1" ht="15" customHeight="1">
      <c r="A14" s="44">
        <v>3</v>
      </c>
      <c r="B14" s="45"/>
      <c r="C14" s="46" t="s">
        <v>104</v>
      </c>
      <c r="D14" s="47"/>
      <c r="E14" s="100"/>
      <c r="F14" s="101"/>
      <c r="G14" s="101"/>
      <c r="H14" s="49"/>
      <c r="I14" s="50">
        <f>SUM(I15:I16)</f>
        <v>0</v>
      </c>
    </row>
    <row r="15" spans="1:9" s="41" customFormat="1" ht="15" customHeight="1">
      <c r="A15" s="58" t="s">
        <v>35</v>
      </c>
      <c r="B15" s="89" t="s">
        <v>105</v>
      </c>
      <c r="C15" s="90" t="s">
        <v>106</v>
      </c>
      <c r="D15" s="91" t="s">
        <v>53</v>
      </c>
      <c r="E15" s="91">
        <f>7.7*5</f>
        <v>38.5</v>
      </c>
      <c r="F15" s="92">
        <v>0</v>
      </c>
      <c r="G15" s="92"/>
      <c r="H15" s="53">
        <f t="shared" ref="H15:H16" si="10">F15+G15</f>
        <v>0</v>
      </c>
      <c r="I15" s="54">
        <f t="shared" ref="I15:I16" si="11">E15*H15</f>
        <v>0</v>
      </c>
    </row>
    <row r="16" spans="1:9" s="41" customFormat="1" ht="28.5" customHeight="1">
      <c r="A16" s="58" t="s">
        <v>36</v>
      </c>
      <c r="B16" s="89" t="s">
        <v>107</v>
      </c>
      <c r="C16" s="90" t="s">
        <v>108</v>
      </c>
      <c r="D16" s="91" t="s">
        <v>53</v>
      </c>
      <c r="E16" s="91">
        <f>7.7*5</f>
        <v>38.5</v>
      </c>
      <c r="F16" s="92"/>
      <c r="G16" s="92"/>
      <c r="H16" s="53">
        <f t="shared" si="10"/>
        <v>0</v>
      </c>
      <c r="I16" s="54">
        <f t="shared" si="11"/>
        <v>0</v>
      </c>
    </row>
    <row r="17" spans="1:12" s="41" customFormat="1" ht="14.25">
      <c r="A17" s="58"/>
      <c r="B17" s="60"/>
      <c r="C17" s="61"/>
      <c r="D17" s="60"/>
      <c r="E17" s="62"/>
      <c r="F17" s="62"/>
      <c r="G17" s="62"/>
      <c r="H17" s="62"/>
      <c r="I17" s="59"/>
    </row>
    <row r="18" spans="1:12" s="41" customFormat="1">
      <c r="A18" s="63"/>
      <c r="B18" s="64"/>
      <c r="C18" s="64" t="s">
        <v>27</v>
      </c>
      <c r="D18" s="65"/>
      <c r="E18" s="66"/>
      <c r="F18" s="66"/>
      <c r="G18" s="66"/>
      <c r="H18" s="67"/>
      <c r="I18" s="68">
        <f>+I3+I9+I14</f>
        <v>0</v>
      </c>
    </row>
    <row r="19" spans="1:12" s="41" customFormat="1">
      <c r="A19" s="69"/>
      <c r="B19" s="70"/>
      <c r="C19" s="70" t="str">
        <f>CONCATENATE("ADMINISTRAÇÃO LOCAL (",L19*100,"%)")</f>
        <v>ADMINISTRAÇÃO LOCAL (6,23%)</v>
      </c>
      <c r="D19" s="71"/>
      <c r="E19" s="72"/>
      <c r="F19" s="72"/>
      <c r="G19" s="72"/>
      <c r="H19" s="73"/>
      <c r="I19" s="74">
        <f>I18*L19</f>
        <v>0</v>
      </c>
      <c r="L19" s="128">
        <f>'calculo BDI'!C$36</f>
        <v>6.2300000000000001E-2</v>
      </c>
    </row>
    <row r="20" spans="1:12" s="41" customFormat="1">
      <c r="A20" s="75"/>
      <c r="B20" s="76"/>
      <c r="C20" s="70" t="str">
        <f>CONCATENATE("BDI (",L20*100,"%)")</f>
        <v>BDI (25,65%)</v>
      </c>
      <c r="D20" s="77"/>
      <c r="E20" s="78"/>
      <c r="F20" s="78"/>
      <c r="G20" s="78"/>
      <c r="H20" s="79"/>
      <c r="I20" s="80">
        <f>(I19+I18)*L20</f>
        <v>0</v>
      </c>
      <c r="L20" s="128">
        <f>'calculo BDI'!C$26</f>
        <v>0.25650000000000001</v>
      </c>
    </row>
    <row r="21" spans="1:12" s="41" customFormat="1">
      <c r="A21" s="81"/>
      <c r="B21" s="82"/>
      <c r="C21" s="82" t="s">
        <v>28</v>
      </c>
      <c r="D21" s="83"/>
      <c r="E21" s="84"/>
      <c r="F21" s="84"/>
      <c r="G21" s="84"/>
      <c r="H21" s="197">
        <f>SUM(I18:I20)</f>
        <v>0</v>
      </c>
      <c r="I21" s="198"/>
    </row>
    <row r="23" spans="1:12">
      <c r="I23" t="str">
        <f>IF(SUM(I3:I16)/2=I18,"ok","falso")</f>
        <v>ok</v>
      </c>
    </row>
  </sheetData>
  <mergeCells count="7">
    <mergeCell ref="H21:I21"/>
    <mergeCell ref="A1:A2"/>
    <mergeCell ref="B1:B2"/>
    <mergeCell ref="C1:C2"/>
    <mergeCell ref="D1:D2"/>
    <mergeCell ref="E1:E2"/>
    <mergeCell ref="F1:I1"/>
  </mergeCells>
  <pageMargins left="0.511811024" right="0.511811024" top="0.78740157499999996" bottom="0.78740157499999996" header="0.31496062000000002" footer="0.31496062000000002"/>
  <pageSetup paperSize="9" scale="66" orientation="landscape" r:id="rId1"/>
  <headerFooter>
    <oddHeader>&amp;C&amp;"-,Negrito"&amp;14PE Itutinga-Pilões - &amp;A
&amp;RCPOS 175 - Mar/2019</oddHeader>
    <oddFooter>&amp;L&amp;"Verdana,Negrito"&amp;8Fundação Florestal&amp;"Verdana,Normal" | Av. Prof. Frederico Hermann Jr 345 | CEP 05459-010
São Paulo, SP | Fone (11) 2997-5000 | www.fflorestal.sp.gov.br&amp;R&amp;G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3"/>
  <sheetViews>
    <sheetView topLeftCell="A58" zoomScale="90" zoomScaleNormal="90" workbookViewId="0">
      <selection activeCell="F114" sqref="F114:F116"/>
    </sheetView>
  </sheetViews>
  <sheetFormatPr defaultRowHeight="15"/>
  <cols>
    <col min="1" max="1" width="6.85546875" bestFit="1" customWidth="1"/>
    <col min="2" max="2" width="20.85546875" bestFit="1" customWidth="1"/>
    <col min="3" max="3" width="102.7109375" bestFit="1" customWidth="1"/>
    <col min="4" max="4" width="10" bestFit="1" customWidth="1"/>
    <col min="5" max="5" width="12.85546875" bestFit="1" customWidth="1"/>
    <col min="6" max="6" width="11.7109375" customWidth="1"/>
    <col min="7" max="7" width="12.85546875" bestFit="1" customWidth="1"/>
    <col min="8" max="8" width="13" bestFit="1" customWidth="1"/>
    <col min="9" max="9" width="17.7109375" bestFit="1" customWidth="1"/>
    <col min="12" max="12" width="15.28515625" customWidth="1"/>
    <col min="13" max="13" width="37.5703125" customWidth="1"/>
  </cols>
  <sheetData>
    <row r="1" spans="1:9" s="41" customFormat="1" ht="18" customHeight="1">
      <c r="A1" s="199" t="s">
        <v>0</v>
      </c>
      <c r="B1" s="201" t="s">
        <v>18</v>
      </c>
      <c r="C1" s="201" t="s">
        <v>19</v>
      </c>
      <c r="D1" s="203" t="s">
        <v>20</v>
      </c>
      <c r="E1" s="205" t="s">
        <v>21</v>
      </c>
      <c r="F1" s="207" t="s">
        <v>22</v>
      </c>
      <c r="G1" s="207"/>
      <c r="H1" s="207"/>
      <c r="I1" s="208"/>
    </row>
    <row r="2" spans="1:9" s="41" customFormat="1" ht="18" customHeight="1">
      <c r="A2" s="200"/>
      <c r="B2" s="202"/>
      <c r="C2" s="202"/>
      <c r="D2" s="204"/>
      <c r="E2" s="206"/>
      <c r="F2" s="42" t="s">
        <v>23</v>
      </c>
      <c r="G2" s="42" t="s">
        <v>24</v>
      </c>
      <c r="H2" s="42" t="s">
        <v>25</v>
      </c>
      <c r="I2" s="43" t="s">
        <v>16</v>
      </c>
    </row>
    <row r="3" spans="1:9" s="41" customFormat="1" ht="15" customHeight="1">
      <c r="A3" s="44">
        <v>1</v>
      </c>
      <c r="B3" s="45"/>
      <c r="C3" s="46" t="s">
        <v>58</v>
      </c>
      <c r="D3" s="47"/>
      <c r="E3" s="48"/>
      <c r="F3" s="48"/>
      <c r="G3" s="48"/>
      <c r="H3" s="49"/>
      <c r="I3" s="50">
        <f>SUM(I4:I13)</f>
        <v>0</v>
      </c>
    </row>
    <row r="4" spans="1:9" s="41" customFormat="1" ht="14.25">
      <c r="A4" s="58" t="s">
        <v>29</v>
      </c>
      <c r="B4" s="89" t="s">
        <v>81</v>
      </c>
      <c r="C4" s="90" t="s">
        <v>82</v>
      </c>
      <c r="D4" s="91" t="s">
        <v>59</v>
      </c>
      <c r="E4" s="91">
        <f>2.1*2+0.7</f>
        <v>4.9000000000000004</v>
      </c>
      <c r="F4" s="92">
        <v>0</v>
      </c>
      <c r="G4" s="92"/>
      <c r="H4" s="53">
        <f t="shared" ref="H4:H5" si="0">F4+G4</f>
        <v>0</v>
      </c>
      <c r="I4" s="54">
        <f t="shared" ref="I4:I5" si="1">E4*H4</f>
        <v>0</v>
      </c>
    </row>
    <row r="5" spans="1:9" s="41" customFormat="1" ht="15" customHeight="1">
      <c r="A5" s="58" t="s">
        <v>30</v>
      </c>
      <c r="B5" s="89" t="s">
        <v>76</v>
      </c>
      <c r="C5" s="90" t="s">
        <v>77</v>
      </c>
      <c r="D5" s="91" t="s">
        <v>53</v>
      </c>
      <c r="E5" s="91">
        <f>(6.5*3)+(7.1*3)</f>
        <v>40.799999999999997</v>
      </c>
      <c r="F5" s="92">
        <v>0</v>
      </c>
      <c r="G5" s="92"/>
      <c r="H5" s="53">
        <f t="shared" si="0"/>
        <v>0</v>
      </c>
      <c r="I5" s="54">
        <f t="shared" si="1"/>
        <v>0</v>
      </c>
    </row>
    <row r="6" spans="1:9" s="41" customFormat="1" ht="15" customHeight="1">
      <c r="A6" s="58" t="s">
        <v>31</v>
      </c>
      <c r="B6" s="89" t="s">
        <v>335</v>
      </c>
      <c r="C6" s="90" t="s">
        <v>336</v>
      </c>
      <c r="D6" s="91" t="s">
        <v>53</v>
      </c>
      <c r="E6" s="91">
        <f>1.4*2+14.28+2.66</f>
        <v>19.739999999999998</v>
      </c>
      <c r="F6" s="92">
        <v>0</v>
      </c>
      <c r="G6" s="92"/>
      <c r="H6" s="53">
        <f t="shared" ref="H6:H9" si="2">F6+G6</f>
        <v>0</v>
      </c>
      <c r="I6" s="54">
        <f t="shared" ref="I6:I9" si="3">E6*H6</f>
        <v>0</v>
      </c>
    </row>
    <row r="7" spans="1:9" s="41" customFormat="1" ht="15" customHeight="1">
      <c r="A7" s="58" t="s">
        <v>32</v>
      </c>
      <c r="B7" s="89" t="s">
        <v>395</v>
      </c>
      <c r="C7" s="90" t="s">
        <v>396</v>
      </c>
      <c r="D7" s="91" t="s">
        <v>53</v>
      </c>
      <c r="E7" s="91">
        <f>5*2*3+7*3+5*7</f>
        <v>86</v>
      </c>
      <c r="F7" s="92"/>
      <c r="G7" s="92"/>
      <c r="H7" s="53">
        <f t="shared" si="2"/>
        <v>0</v>
      </c>
      <c r="I7" s="54">
        <f t="shared" si="3"/>
        <v>0</v>
      </c>
    </row>
    <row r="8" spans="1:9" s="41" customFormat="1" ht="15" customHeight="1">
      <c r="A8" s="58" t="s">
        <v>33</v>
      </c>
      <c r="B8" s="89" t="s">
        <v>290</v>
      </c>
      <c r="C8" s="90" t="s">
        <v>291</v>
      </c>
      <c r="D8" s="91" t="s">
        <v>59</v>
      </c>
      <c r="E8" s="91">
        <v>7</v>
      </c>
      <c r="F8" s="92">
        <v>0</v>
      </c>
      <c r="G8" s="92"/>
      <c r="H8" s="53">
        <f t="shared" si="2"/>
        <v>0</v>
      </c>
      <c r="I8" s="54">
        <f t="shared" si="3"/>
        <v>0</v>
      </c>
    </row>
    <row r="9" spans="1:9" s="41" customFormat="1" ht="27" customHeight="1">
      <c r="A9" s="58" t="s">
        <v>39</v>
      </c>
      <c r="B9" s="89" t="s">
        <v>83</v>
      </c>
      <c r="C9" s="90" t="s">
        <v>84</v>
      </c>
      <c r="D9" s="91" t="s">
        <v>65</v>
      </c>
      <c r="E9" s="91">
        <f>ROUNDUP(((E5*0.03)+E10+(E8*3.1415*0.1^2)*2/4+E12*0.02+E4*0.1+E6*0.05)*1.3,0)</f>
        <v>4</v>
      </c>
      <c r="F9" s="92"/>
      <c r="G9" s="92"/>
      <c r="H9" s="53">
        <f t="shared" si="2"/>
        <v>0</v>
      </c>
      <c r="I9" s="54">
        <f t="shared" si="3"/>
        <v>0</v>
      </c>
    </row>
    <row r="10" spans="1:9" s="41" customFormat="1" ht="14.25">
      <c r="A10" s="58" t="s">
        <v>184</v>
      </c>
      <c r="B10" s="89" t="s">
        <v>191</v>
      </c>
      <c r="C10" s="90" t="s">
        <v>192</v>
      </c>
      <c r="D10" s="91" t="s">
        <v>65</v>
      </c>
      <c r="E10" s="91">
        <f>ROUNDUP((0.2*0.2*0.8*4),2)</f>
        <v>0.13</v>
      </c>
      <c r="F10" s="92">
        <v>0</v>
      </c>
      <c r="G10" s="92"/>
      <c r="H10" s="53">
        <f t="shared" ref="H10:H13" si="4">F10+G10</f>
        <v>0</v>
      </c>
      <c r="I10" s="54">
        <f t="shared" ref="I10:I13" si="5">E10*H10</f>
        <v>0</v>
      </c>
    </row>
    <row r="11" spans="1:9" s="41" customFormat="1" ht="14.25">
      <c r="A11" s="58" t="s">
        <v>40</v>
      </c>
      <c r="B11" s="89" t="s">
        <v>185</v>
      </c>
      <c r="C11" s="90" t="s">
        <v>186</v>
      </c>
      <c r="D11" s="91" t="s">
        <v>53</v>
      </c>
      <c r="E11" s="91">
        <f>1.2*3.6</f>
        <v>4.32</v>
      </c>
      <c r="F11" s="92">
        <v>0</v>
      </c>
      <c r="G11" s="92"/>
      <c r="H11" s="53">
        <f t="shared" si="4"/>
        <v>0</v>
      </c>
      <c r="I11" s="54">
        <f t="shared" si="5"/>
        <v>0</v>
      </c>
    </row>
    <row r="12" spans="1:9" s="41" customFormat="1" ht="14.25">
      <c r="A12" s="58" t="s">
        <v>337</v>
      </c>
      <c r="B12" s="89" t="s">
        <v>187</v>
      </c>
      <c r="C12" s="90" t="s">
        <v>188</v>
      </c>
      <c r="D12" s="91" t="s">
        <v>53</v>
      </c>
      <c r="E12" s="91">
        <f>1.2*3.6</f>
        <v>4.32</v>
      </c>
      <c r="F12" s="92">
        <v>0</v>
      </c>
      <c r="G12" s="92"/>
      <c r="H12" s="53">
        <f t="shared" si="4"/>
        <v>0</v>
      </c>
      <c r="I12" s="54">
        <f t="shared" si="5"/>
        <v>0</v>
      </c>
    </row>
    <row r="13" spans="1:9" s="41" customFormat="1" ht="18.75" customHeight="1">
      <c r="A13" s="58" t="s">
        <v>397</v>
      </c>
      <c r="B13" s="89" t="s">
        <v>303</v>
      </c>
      <c r="C13" s="90" t="s">
        <v>304</v>
      </c>
      <c r="D13" s="91" t="s">
        <v>305</v>
      </c>
      <c r="E13" s="91">
        <f>ROUNDUP(E11*0.016,1)</f>
        <v>0.1</v>
      </c>
      <c r="F13" s="92"/>
      <c r="G13" s="92">
        <v>0</v>
      </c>
      <c r="H13" s="53">
        <f t="shared" si="4"/>
        <v>0</v>
      </c>
      <c r="I13" s="54">
        <f t="shared" si="5"/>
        <v>0</v>
      </c>
    </row>
    <row r="14" spans="1:9" s="41" customFormat="1" ht="28.5" customHeight="1">
      <c r="A14" s="44">
        <v>2</v>
      </c>
      <c r="B14" s="45"/>
      <c r="C14" s="46" t="s">
        <v>275</v>
      </c>
      <c r="D14" s="47"/>
      <c r="E14" s="48"/>
      <c r="F14" s="48"/>
      <c r="G14" s="48"/>
      <c r="H14" s="49"/>
      <c r="I14" s="50">
        <f>SUM(I15:I16)</f>
        <v>0</v>
      </c>
    </row>
    <row r="15" spans="1:9" s="41" customFormat="1" ht="25.5" customHeight="1">
      <c r="A15" s="58" t="s">
        <v>26</v>
      </c>
      <c r="B15" s="89" t="s">
        <v>276</v>
      </c>
      <c r="C15" s="90" t="s">
        <v>277</v>
      </c>
      <c r="D15" s="91" t="s">
        <v>53</v>
      </c>
      <c r="E15" s="91">
        <f>ROUNDUP(((7.1*0.35)+2*(5.5*(0.96+0.35)/2)+(7.1*0.64)+(1.6*0.84)),0)</f>
        <v>16</v>
      </c>
      <c r="F15" s="92"/>
      <c r="G15" s="92"/>
      <c r="H15" s="53">
        <f t="shared" ref="H15" si="6">F15+G15</f>
        <v>0</v>
      </c>
      <c r="I15" s="54">
        <f t="shared" ref="I15" si="7">E15*H15</f>
        <v>0</v>
      </c>
    </row>
    <row r="16" spans="1:9" s="41" customFormat="1" ht="15" customHeight="1">
      <c r="A16" s="58"/>
      <c r="B16" s="89"/>
      <c r="C16" s="90"/>
      <c r="D16" s="91"/>
      <c r="E16" s="91"/>
      <c r="F16" s="92"/>
      <c r="G16" s="92"/>
      <c r="H16" s="53">
        <f t="shared" ref="H16" si="8">F16+G16</f>
        <v>0</v>
      </c>
      <c r="I16" s="54">
        <f>E16*H16</f>
        <v>0</v>
      </c>
    </row>
    <row r="17" spans="1:12" s="41" customFormat="1" ht="25.5" customHeight="1">
      <c r="A17" s="44">
        <v>3</v>
      </c>
      <c r="B17" s="45"/>
      <c r="C17" s="46" t="s">
        <v>278</v>
      </c>
      <c r="D17" s="47"/>
      <c r="E17" s="48"/>
      <c r="F17" s="48"/>
      <c r="G17" s="48"/>
      <c r="H17" s="49"/>
      <c r="I17" s="50">
        <f>SUM(I18:I23)</f>
        <v>0</v>
      </c>
    </row>
    <row r="18" spans="1:12" s="41" customFormat="1" ht="15" customHeight="1">
      <c r="A18" s="58" t="s">
        <v>35</v>
      </c>
      <c r="B18" s="89" t="s">
        <v>279</v>
      </c>
      <c r="C18" s="90" t="s">
        <v>280</v>
      </c>
      <c r="D18" s="91" t="s">
        <v>53</v>
      </c>
      <c r="E18" s="91">
        <f>(3.4*0.2*4)+(2.6*0.2*3*4)</f>
        <v>8.9600000000000009</v>
      </c>
      <c r="F18" s="92"/>
      <c r="G18" s="92"/>
      <c r="H18" s="53">
        <f t="shared" ref="H18:H21" si="9">F18+G18</f>
        <v>0</v>
      </c>
      <c r="I18" s="54">
        <f t="shared" ref="I18:I21" si="10">E18*H18</f>
        <v>0</v>
      </c>
    </row>
    <row r="19" spans="1:12" s="41" customFormat="1" ht="15" customHeight="1">
      <c r="A19" s="58" t="s">
        <v>36</v>
      </c>
      <c r="B19" s="89" t="s">
        <v>281</v>
      </c>
      <c r="C19" s="90" t="s">
        <v>282</v>
      </c>
      <c r="D19" s="91" t="s">
        <v>65</v>
      </c>
      <c r="E19" s="91">
        <f>(4*0.2*0.2*3.4)</f>
        <v>0.54400000000000004</v>
      </c>
      <c r="F19" s="92"/>
      <c r="G19" s="92"/>
      <c r="H19" s="53">
        <f t="shared" si="9"/>
        <v>0</v>
      </c>
      <c r="I19" s="54">
        <f t="shared" si="10"/>
        <v>0</v>
      </c>
    </row>
    <row r="20" spans="1:12" s="41" customFormat="1" ht="15" customHeight="1">
      <c r="A20" s="58" t="s">
        <v>37</v>
      </c>
      <c r="B20" s="89" t="s">
        <v>283</v>
      </c>
      <c r="C20" s="90" t="s">
        <v>284</v>
      </c>
      <c r="D20" s="91" t="s">
        <v>65</v>
      </c>
      <c r="E20" s="91">
        <f>(4*0.2*0.2*3.4)</f>
        <v>0.54400000000000004</v>
      </c>
      <c r="F20" s="92">
        <v>0</v>
      </c>
      <c r="G20" s="92"/>
      <c r="H20" s="53">
        <f t="shared" si="9"/>
        <v>0</v>
      </c>
      <c r="I20" s="54">
        <f t="shared" si="10"/>
        <v>0</v>
      </c>
    </row>
    <row r="21" spans="1:12" s="41" customFormat="1" ht="15" customHeight="1">
      <c r="A21" s="58" t="s">
        <v>38</v>
      </c>
      <c r="B21" s="89" t="s">
        <v>285</v>
      </c>
      <c r="C21" s="90" t="s">
        <v>286</v>
      </c>
      <c r="D21" s="91" t="s">
        <v>287</v>
      </c>
      <c r="E21" s="91">
        <f>75*E19</f>
        <v>40.800000000000004</v>
      </c>
      <c r="F21" s="92"/>
      <c r="G21" s="92"/>
      <c r="H21" s="53">
        <f t="shared" si="9"/>
        <v>0</v>
      </c>
      <c r="I21" s="54">
        <f t="shared" si="10"/>
        <v>0</v>
      </c>
    </row>
    <row r="22" spans="1:12" s="41" customFormat="1" ht="30" customHeight="1">
      <c r="A22" s="58" t="s">
        <v>157</v>
      </c>
      <c r="B22" s="89" t="s">
        <v>338</v>
      </c>
      <c r="C22" s="90" t="s">
        <v>339</v>
      </c>
      <c r="D22" s="91" t="s">
        <v>41</v>
      </c>
      <c r="E22" s="91">
        <v>16</v>
      </c>
      <c r="F22" s="92"/>
      <c r="G22" s="92">
        <v>0</v>
      </c>
      <c r="H22" s="53">
        <f t="shared" ref="H22:H23" si="11">F22+G22</f>
        <v>0</v>
      </c>
      <c r="I22" s="54">
        <f t="shared" ref="I22:I23" si="12">E22*H22</f>
        <v>0</v>
      </c>
    </row>
    <row r="23" spans="1:12" s="41" customFormat="1" ht="15" customHeight="1">
      <c r="A23" s="58"/>
      <c r="B23" s="89"/>
      <c r="C23" s="90"/>
      <c r="D23" s="91"/>
      <c r="E23" s="91"/>
      <c r="F23" s="92"/>
      <c r="G23" s="92"/>
      <c r="H23" s="53">
        <f t="shared" si="11"/>
        <v>0</v>
      </c>
      <c r="I23" s="54">
        <f t="shared" si="12"/>
        <v>0</v>
      </c>
    </row>
    <row r="24" spans="1:12" s="41" customFormat="1" ht="15" customHeight="1">
      <c r="A24" s="44">
        <v>4</v>
      </c>
      <c r="B24" s="45"/>
      <c r="C24" s="46" t="s">
        <v>60</v>
      </c>
      <c r="D24" s="47"/>
      <c r="E24" s="48"/>
      <c r="F24" s="48"/>
      <c r="G24" s="48"/>
      <c r="H24" s="49"/>
      <c r="I24" s="50">
        <f>SUM(I25:I30)</f>
        <v>0</v>
      </c>
    </row>
    <row r="25" spans="1:12" s="41" customFormat="1" ht="15" customHeight="1">
      <c r="A25" s="58" t="s">
        <v>42</v>
      </c>
      <c r="B25" s="89" t="s">
        <v>273</v>
      </c>
      <c r="C25" s="90" t="s">
        <v>274</v>
      </c>
      <c r="D25" s="91" t="s">
        <v>53</v>
      </c>
      <c r="E25" s="91">
        <f>ROUNDUP(8.7*5.4,0)</f>
        <v>47</v>
      </c>
      <c r="F25" s="92"/>
      <c r="G25" s="92"/>
      <c r="H25" s="53">
        <f t="shared" ref="H25:H28" si="13">F25+G25</f>
        <v>0</v>
      </c>
      <c r="I25" s="54">
        <f t="shared" ref="I25:I28" si="14">E25*H25</f>
        <v>0</v>
      </c>
    </row>
    <row r="26" spans="1:12" s="41" customFormat="1" ht="14.25">
      <c r="A26" s="58" t="s">
        <v>43</v>
      </c>
      <c r="B26" s="89" t="s">
        <v>230</v>
      </c>
      <c r="C26" s="90" t="s">
        <v>231</v>
      </c>
      <c r="D26" s="91" t="s">
        <v>53</v>
      </c>
      <c r="E26" s="91">
        <f>E25*1.08</f>
        <v>50.760000000000005</v>
      </c>
      <c r="F26" s="92"/>
      <c r="G26" s="92"/>
      <c r="H26" s="53">
        <f t="shared" si="13"/>
        <v>0</v>
      </c>
      <c r="I26" s="54">
        <f t="shared" si="14"/>
        <v>0</v>
      </c>
    </row>
    <row r="27" spans="1:12" s="41" customFormat="1" ht="15" customHeight="1">
      <c r="A27" s="58" t="s">
        <v>63</v>
      </c>
      <c r="B27" s="89" t="s">
        <v>232</v>
      </c>
      <c r="C27" s="90" t="s">
        <v>233</v>
      </c>
      <c r="D27" s="91" t="s">
        <v>59</v>
      </c>
      <c r="E27" s="91">
        <v>8.6999999999999993</v>
      </c>
      <c r="F27" s="92"/>
      <c r="G27" s="92"/>
      <c r="H27" s="53">
        <f t="shared" si="13"/>
        <v>0</v>
      </c>
      <c r="I27" s="54">
        <f t="shared" si="14"/>
        <v>0</v>
      </c>
    </row>
    <row r="28" spans="1:12" s="41" customFormat="1" ht="14.25">
      <c r="A28" s="58" t="s">
        <v>180</v>
      </c>
      <c r="B28" s="89" t="s">
        <v>173</v>
      </c>
      <c r="C28" s="90" t="s">
        <v>239</v>
      </c>
      <c r="D28" s="91" t="s">
        <v>53</v>
      </c>
      <c r="E28" s="91">
        <f>ROUNDUP((1.0008*E25),0)</f>
        <v>48</v>
      </c>
      <c r="F28" s="92"/>
      <c r="G28" s="92"/>
      <c r="H28" s="53">
        <f t="shared" si="13"/>
        <v>0</v>
      </c>
      <c r="I28" s="54">
        <f t="shared" si="14"/>
        <v>0</v>
      </c>
      <c r="L28" s="139"/>
    </row>
    <row r="29" spans="1:12" s="41" customFormat="1" ht="14.25">
      <c r="A29" s="58"/>
      <c r="B29" s="136" t="s">
        <v>381</v>
      </c>
      <c r="C29" s="136" t="s">
        <v>382</v>
      </c>
      <c r="D29" s="137" t="s">
        <v>59</v>
      </c>
      <c r="E29" s="137"/>
      <c r="F29" s="138"/>
      <c r="G29" s="138"/>
      <c r="H29" s="53"/>
      <c r="I29" s="54"/>
      <c r="L29" s="139"/>
    </row>
    <row r="30" spans="1:12" s="41" customFormat="1" ht="14.25">
      <c r="A30" s="58"/>
      <c r="B30" s="89"/>
      <c r="C30" s="90"/>
      <c r="D30" s="91"/>
      <c r="E30" s="91"/>
      <c r="F30" s="92"/>
      <c r="G30" s="92"/>
      <c r="H30" s="53">
        <f t="shared" ref="H30" si="15">F30+G30</f>
        <v>0</v>
      </c>
      <c r="I30" s="54">
        <f t="shared" ref="I30" si="16">E30*H30</f>
        <v>0</v>
      </c>
    </row>
    <row r="31" spans="1:12" s="41" customFormat="1" ht="15" customHeight="1">
      <c r="A31" s="44">
        <v>5</v>
      </c>
      <c r="B31" s="45"/>
      <c r="C31" s="46" t="s">
        <v>73</v>
      </c>
      <c r="D31" s="47"/>
      <c r="E31" s="48"/>
      <c r="F31" s="48"/>
      <c r="G31" s="48"/>
      <c r="H31" s="49"/>
      <c r="I31" s="50">
        <f>SUM(I32:I44)</f>
        <v>0</v>
      </c>
    </row>
    <row r="32" spans="1:12" s="41" customFormat="1" ht="14.25">
      <c r="A32" s="58" t="s">
        <v>256</v>
      </c>
      <c r="B32" s="89" t="s">
        <v>74</v>
      </c>
      <c r="C32" s="90" t="s">
        <v>75</v>
      </c>
      <c r="D32" s="91" t="s">
        <v>59</v>
      </c>
      <c r="E32" s="91">
        <v>30</v>
      </c>
      <c r="F32" s="92"/>
      <c r="G32" s="92"/>
      <c r="H32" s="53">
        <f t="shared" ref="H32:H34" si="17">F32+G32</f>
        <v>0</v>
      </c>
      <c r="I32" s="54">
        <f t="shared" ref="I32:I34" si="18">E32*H32</f>
        <v>0</v>
      </c>
    </row>
    <row r="33" spans="1:9" s="41" customFormat="1" ht="15" customHeight="1">
      <c r="A33" s="58" t="s">
        <v>259</v>
      </c>
      <c r="B33" s="89" t="s">
        <v>85</v>
      </c>
      <c r="C33" s="90" t="s">
        <v>86</v>
      </c>
      <c r="D33" s="91" t="s">
        <v>65</v>
      </c>
      <c r="E33" s="91">
        <f>E32*0.4*1</f>
        <v>12</v>
      </c>
      <c r="F33" s="92">
        <v>0</v>
      </c>
      <c r="G33" s="92"/>
      <c r="H33" s="53">
        <f t="shared" si="17"/>
        <v>0</v>
      </c>
      <c r="I33" s="54">
        <f t="shared" si="18"/>
        <v>0</v>
      </c>
    </row>
    <row r="34" spans="1:9" s="41" customFormat="1" ht="15" customHeight="1">
      <c r="A34" s="58" t="s">
        <v>261</v>
      </c>
      <c r="B34" s="89" t="s">
        <v>158</v>
      </c>
      <c r="C34" s="90" t="s">
        <v>159</v>
      </c>
      <c r="D34" s="91" t="s">
        <v>65</v>
      </c>
      <c r="E34" s="91">
        <f>E32*0.4*0.3</f>
        <v>3.5999999999999996</v>
      </c>
      <c r="F34" s="92"/>
      <c r="G34" s="92"/>
      <c r="H34" s="53">
        <f t="shared" si="17"/>
        <v>0</v>
      </c>
      <c r="I34" s="54">
        <f t="shared" si="18"/>
        <v>0</v>
      </c>
    </row>
    <row r="35" spans="1:9" s="41" customFormat="1" ht="15" customHeight="1">
      <c r="A35" s="58" t="s">
        <v>263</v>
      </c>
      <c r="B35" s="89" t="s">
        <v>89</v>
      </c>
      <c r="C35" s="90" t="s">
        <v>90</v>
      </c>
      <c r="D35" s="91" t="s">
        <v>65</v>
      </c>
      <c r="E35" s="91">
        <f>E32*0.4*0.1</f>
        <v>1.2000000000000002</v>
      </c>
      <c r="F35" s="92"/>
      <c r="G35" s="92"/>
      <c r="H35" s="53">
        <f t="shared" ref="H35:H43" si="19">F35+G35</f>
        <v>0</v>
      </c>
      <c r="I35" s="54">
        <f t="shared" ref="I35:I43" si="20">E35*H35</f>
        <v>0</v>
      </c>
    </row>
    <row r="36" spans="1:9" s="41" customFormat="1" ht="14.25">
      <c r="A36" s="58" t="s">
        <v>340</v>
      </c>
      <c r="B36" s="89" t="s">
        <v>87</v>
      </c>
      <c r="C36" s="90" t="s">
        <v>88</v>
      </c>
      <c r="D36" s="91" t="s">
        <v>65</v>
      </c>
      <c r="E36" s="91">
        <f>E33-E35-E34</f>
        <v>7.2000000000000011</v>
      </c>
      <c r="F36" s="92">
        <v>0</v>
      </c>
      <c r="G36" s="92"/>
      <c r="H36" s="53">
        <f t="shared" si="19"/>
        <v>0</v>
      </c>
      <c r="I36" s="54">
        <f t="shared" si="20"/>
        <v>0</v>
      </c>
    </row>
    <row r="37" spans="1:9" s="41" customFormat="1" ht="14.25">
      <c r="A37" s="58" t="s">
        <v>341</v>
      </c>
      <c r="B37" s="89" t="s">
        <v>98</v>
      </c>
      <c r="C37" s="90" t="s">
        <v>99</v>
      </c>
      <c r="D37" s="91" t="s">
        <v>41</v>
      </c>
      <c r="E37" s="91">
        <v>1</v>
      </c>
      <c r="F37" s="92"/>
      <c r="G37" s="92"/>
      <c r="H37" s="53">
        <f t="shared" si="19"/>
        <v>0</v>
      </c>
      <c r="I37" s="54">
        <f t="shared" si="20"/>
        <v>0</v>
      </c>
    </row>
    <row r="38" spans="1:9" s="41" customFormat="1" ht="28.5" customHeight="1">
      <c r="A38" s="58" t="s">
        <v>342</v>
      </c>
      <c r="B38" s="89" t="s">
        <v>155</v>
      </c>
      <c r="C38" s="90" t="s">
        <v>156</v>
      </c>
      <c r="D38" s="91" t="s">
        <v>41</v>
      </c>
      <c r="E38" s="91">
        <v>1</v>
      </c>
      <c r="F38" s="92"/>
      <c r="G38" s="92">
        <v>0</v>
      </c>
      <c r="H38" s="53">
        <f t="shared" si="19"/>
        <v>0</v>
      </c>
      <c r="I38" s="54">
        <f t="shared" si="20"/>
        <v>0</v>
      </c>
    </row>
    <row r="39" spans="1:9" s="41" customFormat="1" ht="14.25">
      <c r="A39" s="58" t="s">
        <v>343</v>
      </c>
      <c r="B39" s="89" t="s">
        <v>379</v>
      </c>
      <c r="C39" s="90" t="s">
        <v>380</v>
      </c>
      <c r="D39" s="91" t="s">
        <v>59</v>
      </c>
      <c r="E39" s="91">
        <v>25</v>
      </c>
      <c r="F39" s="92"/>
      <c r="G39" s="92"/>
      <c r="H39" s="53">
        <f t="shared" ref="H39:H41" si="21">F39+G39</f>
        <v>0</v>
      </c>
      <c r="I39" s="54">
        <f t="shared" ref="I39:I41" si="22">E39*H39</f>
        <v>0</v>
      </c>
    </row>
    <row r="40" spans="1:9" s="41" customFormat="1" ht="14.25">
      <c r="A40" s="58" t="s">
        <v>344</v>
      </c>
      <c r="B40" s="89" t="s">
        <v>377</v>
      </c>
      <c r="C40" s="90" t="s">
        <v>378</v>
      </c>
      <c r="D40" s="91" t="s">
        <v>59</v>
      </c>
      <c r="E40" s="91">
        <v>10</v>
      </c>
      <c r="F40" s="92"/>
      <c r="G40" s="92"/>
      <c r="H40" s="53">
        <f t="shared" si="21"/>
        <v>0</v>
      </c>
      <c r="I40" s="54">
        <f t="shared" si="22"/>
        <v>0</v>
      </c>
    </row>
    <row r="41" spans="1:9" s="41" customFormat="1" ht="15" customHeight="1">
      <c r="A41" s="58" t="s">
        <v>345</v>
      </c>
      <c r="B41" s="89" t="s">
        <v>160</v>
      </c>
      <c r="C41" s="90" t="s">
        <v>161</v>
      </c>
      <c r="D41" s="91" t="s">
        <v>59</v>
      </c>
      <c r="E41" s="91">
        <v>20</v>
      </c>
      <c r="F41" s="92"/>
      <c r="G41" s="92"/>
      <c r="H41" s="53">
        <f t="shared" si="21"/>
        <v>0</v>
      </c>
      <c r="I41" s="54">
        <f t="shared" si="22"/>
        <v>0</v>
      </c>
    </row>
    <row r="42" spans="1:9" s="41" customFormat="1" ht="15" customHeight="1">
      <c r="A42" s="58" t="s">
        <v>346</v>
      </c>
      <c r="B42" s="89" t="s">
        <v>292</v>
      </c>
      <c r="C42" s="90" t="s">
        <v>293</v>
      </c>
      <c r="D42" s="91" t="s">
        <v>59</v>
      </c>
      <c r="E42" s="91">
        <v>2</v>
      </c>
      <c r="F42" s="92"/>
      <c r="G42" s="92"/>
      <c r="H42" s="53">
        <f t="shared" si="19"/>
        <v>0</v>
      </c>
      <c r="I42" s="54">
        <f t="shared" si="20"/>
        <v>0</v>
      </c>
    </row>
    <row r="43" spans="1:9" s="41" customFormat="1" ht="15" customHeight="1">
      <c r="A43" s="58" t="s">
        <v>347</v>
      </c>
      <c r="B43" s="89" t="s">
        <v>100</v>
      </c>
      <c r="C43" s="90" t="s">
        <v>101</v>
      </c>
      <c r="D43" s="91" t="s">
        <v>41</v>
      </c>
      <c r="E43" s="91">
        <v>1</v>
      </c>
      <c r="F43" s="92"/>
      <c r="G43" s="92"/>
      <c r="H43" s="53">
        <f t="shared" si="19"/>
        <v>0</v>
      </c>
      <c r="I43" s="54">
        <f t="shared" si="20"/>
        <v>0</v>
      </c>
    </row>
    <row r="44" spans="1:9" s="41" customFormat="1" ht="15" customHeight="1">
      <c r="A44" s="58"/>
      <c r="B44" s="131"/>
      <c r="C44" s="132"/>
      <c r="D44" s="133"/>
      <c r="E44" s="133"/>
      <c r="F44" s="134"/>
      <c r="G44" s="134"/>
      <c r="H44" s="135"/>
      <c r="I44" s="59"/>
    </row>
    <row r="45" spans="1:9" s="41" customFormat="1">
      <c r="A45" s="44">
        <v>6</v>
      </c>
      <c r="B45" s="45"/>
      <c r="C45" s="46" t="s">
        <v>72</v>
      </c>
      <c r="D45" s="47"/>
      <c r="E45" s="48"/>
      <c r="F45" s="48"/>
      <c r="G45" s="48"/>
      <c r="H45" s="49"/>
      <c r="I45" s="50">
        <f>SUM(I46:I51)</f>
        <v>0</v>
      </c>
    </row>
    <row r="46" spans="1:9" s="41" customFormat="1" ht="15" customHeight="1">
      <c r="A46" s="58" t="s">
        <v>348</v>
      </c>
      <c r="B46" s="89" t="s">
        <v>143</v>
      </c>
      <c r="C46" s="90" t="s">
        <v>144</v>
      </c>
      <c r="D46" s="91" t="s">
        <v>41</v>
      </c>
      <c r="E46" s="91">
        <v>1</v>
      </c>
      <c r="F46" s="92"/>
      <c r="G46" s="92"/>
      <c r="H46" s="53">
        <f t="shared" ref="H46:H49" si="23">F46+G46</f>
        <v>0</v>
      </c>
      <c r="I46" s="54">
        <f>E46*H46</f>
        <v>0</v>
      </c>
    </row>
    <row r="47" spans="1:9" s="41" customFormat="1" ht="15" customHeight="1">
      <c r="A47" s="58" t="s">
        <v>349</v>
      </c>
      <c r="B47" s="89" t="s">
        <v>145</v>
      </c>
      <c r="C47" s="90" t="s">
        <v>146</v>
      </c>
      <c r="D47" s="91" t="s">
        <v>59</v>
      </c>
      <c r="E47" s="91">
        <v>80</v>
      </c>
      <c r="F47" s="92"/>
      <c r="G47" s="92"/>
      <c r="H47" s="53">
        <f t="shared" si="23"/>
        <v>0</v>
      </c>
      <c r="I47" s="54">
        <f t="shared" ref="I47:I49" si="24">E47*H47</f>
        <v>0</v>
      </c>
    </row>
    <row r="48" spans="1:9" s="41" customFormat="1" ht="18" customHeight="1">
      <c r="A48" s="58" t="s">
        <v>350</v>
      </c>
      <c r="B48" s="89" t="s">
        <v>147</v>
      </c>
      <c r="C48" s="90" t="s">
        <v>148</v>
      </c>
      <c r="D48" s="91" t="s">
        <v>41</v>
      </c>
      <c r="E48" s="91">
        <v>3</v>
      </c>
      <c r="F48" s="92"/>
      <c r="G48" s="92"/>
      <c r="H48" s="53">
        <f t="shared" si="23"/>
        <v>0</v>
      </c>
      <c r="I48" s="54">
        <f t="shared" si="24"/>
        <v>0</v>
      </c>
    </row>
    <row r="49" spans="1:9" s="41" customFormat="1" ht="15" customHeight="1">
      <c r="A49" s="58" t="s">
        <v>351</v>
      </c>
      <c r="B49" s="89" t="s">
        <v>149</v>
      </c>
      <c r="C49" s="90" t="s">
        <v>150</v>
      </c>
      <c r="D49" s="91" t="s">
        <v>41</v>
      </c>
      <c r="E49" s="91">
        <v>2</v>
      </c>
      <c r="F49" s="92"/>
      <c r="G49" s="92"/>
      <c r="H49" s="53">
        <f t="shared" si="23"/>
        <v>0</v>
      </c>
      <c r="I49" s="54">
        <f t="shared" si="24"/>
        <v>0</v>
      </c>
    </row>
    <row r="50" spans="1:9" s="41" customFormat="1" ht="30" customHeight="1">
      <c r="A50" s="58" t="s">
        <v>352</v>
      </c>
      <c r="B50" s="89" t="s">
        <v>151</v>
      </c>
      <c r="C50" s="90" t="s">
        <v>152</v>
      </c>
      <c r="D50" s="91" t="s">
        <v>41</v>
      </c>
      <c r="E50" s="91">
        <v>1</v>
      </c>
      <c r="F50" s="92"/>
      <c r="G50" s="92"/>
      <c r="H50" s="53">
        <f t="shared" ref="H50:H51" si="25">F50+G50</f>
        <v>0</v>
      </c>
      <c r="I50" s="54">
        <f>E50*H50</f>
        <v>0</v>
      </c>
    </row>
    <row r="51" spans="1:9" s="41" customFormat="1" ht="15" customHeight="1">
      <c r="A51" s="58" t="s">
        <v>353</v>
      </c>
      <c r="B51" s="89" t="s">
        <v>153</v>
      </c>
      <c r="C51" s="90" t="s">
        <v>154</v>
      </c>
      <c r="D51" s="91" t="s">
        <v>41</v>
      </c>
      <c r="E51" s="91">
        <v>2</v>
      </c>
      <c r="F51" s="92"/>
      <c r="G51" s="92"/>
      <c r="H51" s="53">
        <f t="shared" si="25"/>
        <v>0</v>
      </c>
      <c r="I51" s="54">
        <f t="shared" ref="I51" si="26">E51*H51</f>
        <v>0</v>
      </c>
    </row>
    <row r="52" spans="1:9" s="41" customFormat="1" ht="15" customHeight="1">
      <c r="A52" s="44">
        <v>7</v>
      </c>
      <c r="B52" s="45"/>
      <c r="C52" s="46" t="s">
        <v>78</v>
      </c>
      <c r="D52" s="47"/>
      <c r="E52" s="48"/>
      <c r="F52" s="48"/>
      <c r="G52" s="48"/>
      <c r="H52" s="49"/>
      <c r="I52" s="50">
        <f>SUM(I53:I57)</f>
        <v>0</v>
      </c>
    </row>
    <row r="53" spans="1:9" s="41" customFormat="1" ht="15" customHeight="1">
      <c r="A53" s="58" t="s">
        <v>354</v>
      </c>
      <c r="B53" s="89" t="s">
        <v>91</v>
      </c>
      <c r="C53" s="90" t="s">
        <v>92</v>
      </c>
      <c r="D53" s="91" t="s">
        <v>59</v>
      </c>
      <c r="E53" s="91">
        <v>1</v>
      </c>
      <c r="F53" s="92"/>
      <c r="G53" s="92"/>
      <c r="H53" s="53">
        <f t="shared" ref="H53:H56" si="27">F53+G53</f>
        <v>0</v>
      </c>
      <c r="I53" s="54">
        <f>E53*H53</f>
        <v>0</v>
      </c>
    </row>
    <row r="54" spans="1:9" s="41" customFormat="1" ht="15" customHeight="1">
      <c r="A54" s="58" t="s">
        <v>355</v>
      </c>
      <c r="B54" s="89" t="s">
        <v>163</v>
      </c>
      <c r="C54" s="90" t="s">
        <v>164</v>
      </c>
      <c r="D54" s="91" t="s">
        <v>53</v>
      </c>
      <c r="E54" s="91">
        <f>40.8+E18+(E15-(7.1*0.64))</f>
        <v>61.215999999999994</v>
      </c>
      <c r="F54" s="92"/>
      <c r="G54" s="92"/>
      <c r="H54" s="53">
        <f t="shared" si="27"/>
        <v>0</v>
      </c>
      <c r="I54" s="54">
        <f t="shared" ref="I54:I56" si="28">E54*H54</f>
        <v>0</v>
      </c>
    </row>
    <row r="55" spans="1:9" s="41" customFormat="1" ht="15" customHeight="1">
      <c r="A55" s="58" t="s">
        <v>356</v>
      </c>
      <c r="B55" s="85" t="s">
        <v>165</v>
      </c>
      <c r="C55" s="86" t="s">
        <v>166</v>
      </c>
      <c r="D55" s="87" t="s">
        <v>53</v>
      </c>
      <c r="E55" s="108">
        <f>(40.8-(3*1.4))+E18+(E15-(7.1*0.64))</f>
        <v>57.015999999999991</v>
      </c>
      <c r="F55" s="92"/>
      <c r="G55" s="92"/>
      <c r="H55" s="53">
        <f t="shared" si="27"/>
        <v>0</v>
      </c>
      <c r="I55" s="54">
        <f t="shared" si="28"/>
        <v>0</v>
      </c>
    </row>
    <row r="56" spans="1:9" s="41" customFormat="1" ht="15" customHeight="1">
      <c r="A56" s="58" t="s">
        <v>357</v>
      </c>
      <c r="B56" s="85" t="s">
        <v>234</v>
      </c>
      <c r="C56" s="86" t="s">
        <v>235</v>
      </c>
      <c r="D56" s="87" t="s">
        <v>53</v>
      </c>
      <c r="E56" s="108">
        <f>(3*1.4)</f>
        <v>4.1999999999999993</v>
      </c>
      <c r="F56" s="92"/>
      <c r="G56" s="92"/>
      <c r="H56" s="53">
        <f t="shared" si="27"/>
        <v>0</v>
      </c>
      <c r="I56" s="54">
        <f t="shared" si="28"/>
        <v>0</v>
      </c>
    </row>
    <row r="57" spans="1:9" s="41" customFormat="1" ht="15" customHeight="1">
      <c r="A57" s="58" t="s">
        <v>394</v>
      </c>
      <c r="B57" s="85" t="s">
        <v>392</v>
      </c>
      <c r="C57" s="86" t="s">
        <v>393</v>
      </c>
      <c r="D57" s="87" t="s">
        <v>65</v>
      </c>
      <c r="E57" s="108">
        <f>ROUNDUP((14.28+2.66)*0.03,2)</f>
        <v>0.51</v>
      </c>
      <c r="F57" s="92"/>
      <c r="G57" s="92"/>
      <c r="H57" s="53">
        <f t="shared" ref="H57" si="29">F57+G57</f>
        <v>0</v>
      </c>
      <c r="I57" s="54">
        <f t="shared" ref="I57" si="30">E57*H57</f>
        <v>0</v>
      </c>
    </row>
    <row r="58" spans="1:9" s="41" customFormat="1" ht="15" customHeight="1">
      <c r="A58" s="44">
        <v>8</v>
      </c>
      <c r="B58" s="45"/>
      <c r="C58" s="46" t="s">
        <v>79</v>
      </c>
      <c r="D58" s="47"/>
      <c r="E58" s="48"/>
      <c r="F58" s="48"/>
      <c r="G58" s="48"/>
      <c r="H58" s="49"/>
      <c r="I58" s="50">
        <f>SUM(I59:I81)</f>
        <v>0</v>
      </c>
    </row>
    <row r="59" spans="1:9" s="41" customFormat="1" ht="28.5">
      <c r="A59" s="58" t="s">
        <v>181</v>
      </c>
      <c r="B59" s="103" t="s">
        <v>113</v>
      </c>
      <c r="C59" s="102" t="s">
        <v>114</v>
      </c>
      <c r="D59" s="103" t="s">
        <v>41</v>
      </c>
      <c r="E59" s="103">
        <v>1</v>
      </c>
      <c r="F59" s="104"/>
      <c r="G59" s="104"/>
      <c r="H59" s="53">
        <f t="shared" ref="H59:H64" si="31">F59+G59</f>
        <v>0</v>
      </c>
      <c r="I59" s="54">
        <f>E59*H59</f>
        <v>0</v>
      </c>
    </row>
    <row r="60" spans="1:9" s="41" customFormat="1" ht="15" customHeight="1">
      <c r="A60" s="58" t="s">
        <v>182</v>
      </c>
      <c r="B60" s="103" t="s">
        <v>115</v>
      </c>
      <c r="C60" s="102" t="s">
        <v>116</v>
      </c>
      <c r="D60" s="103" t="s">
        <v>41</v>
      </c>
      <c r="E60" s="103">
        <v>1</v>
      </c>
      <c r="F60" s="104"/>
      <c r="G60" s="104"/>
      <c r="H60" s="53">
        <f t="shared" si="31"/>
        <v>0</v>
      </c>
      <c r="I60" s="54">
        <f t="shared" ref="I60:I62" si="32">E60*H60</f>
        <v>0</v>
      </c>
    </row>
    <row r="61" spans="1:9" s="41" customFormat="1" ht="15" customHeight="1">
      <c r="A61" s="58" t="s">
        <v>183</v>
      </c>
      <c r="B61" s="103" t="s">
        <v>117</v>
      </c>
      <c r="C61" s="102" t="s">
        <v>118</v>
      </c>
      <c r="D61" s="103" t="s">
        <v>41</v>
      </c>
      <c r="E61" s="103">
        <v>2</v>
      </c>
      <c r="F61" s="104"/>
      <c r="G61" s="104"/>
      <c r="H61" s="53">
        <f t="shared" si="31"/>
        <v>0</v>
      </c>
      <c r="I61" s="54">
        <f t="shared" si="32"/>
        <v>0</v>
      </c>
    </row>
    <row r="62" spans="1:9" s="41" customFormat="1" ht="14.25">
      <c r="A62" s="58" t="s">
        <v>199</v>
      </c>
      <c r="B62" s="103" t="s">
        <v>119</v>
      </c>
      <c r="C62" s="102" t="s">
        <v>120</v>
      </c>
      <c r="D62" s="103" t="s">
        <v>59</v>
      </c>
      <c r="E62" s="103">
        <f>ROUNDUP((1.73+2.01+4.67+4.2+1.28+1.28+5.24+1.4+3.48+3.03+2.66+1.88)*1.25,0)</f>
        <v>42</v>
      </c>
      <c r="F62" s="104"/>
      <c r="G62" s="104"/>
      <c r="H62" s="53">
        <f t="shared" si="31"/>
        <v>0</v>
      </c>
      <c r="I62" s="54">
        <f t="shared" si="32"/>
        <v>0</v>
      </c>
    </row>
    <row r="63" spans="1:9" s="41" customFormat="1" ht="14.25">
      <c r="A63" s="58" t="s">
        <v>222</v>
      </c>
      <c r="B63" s="103" t="s">
        <v>121</v>
      </c>
      <c r="C63" s="102" t="s">
        <v>122</v>
      </c>
      <c r="D63" s="103" t="s">
        <v>59</v>
      </c>
      <c r="E63" s="103">
        <f>ROUNDUP((135.21*1.25),0)</f>
        <v>170</v>
      </c>
      <c r="F63" s="104"/>
      <c r="G63" s="104"/>
      <c r="H63" s="53">
        <f t="shared" si="31"/>
        <v>0</v>
      </c>
      <c r="I63" s="54">
        <f>E63*H63</f>
        <v>0</v>
      </c>
    </row>
    <row r="64" spans="1:9" s="41" customFormat="1" ht="14.25">
      <c r="A64" s="58" t="s">
        <v>223</v>
      </c>
      <c r="B64" s="103" t="s">
        <v>123</v>
      </c>
      <c r="C64" s="102" t="s">
        <v>124</v>
      </c>
      <c r="D64" s="103" t="s">
        <v>59</v>
      </c>
      <c r="E64" s="103">
        <f>ROUNDUP((30.09*1.25),0)</f>
        <v>38</v>
      </c>
      <c r="F64" s="104"/>
      <c r="G64" s="104"/>
      <c r="H64" s="53">
        <f t="shared" si="31"/>
        <v>0</v>
      </c>
      <c r="I64" s="54">
        <f t="shared" ref="I64:I71" si="33">E64*H64</f>
        <v>0</v>
      </c>
    </row>
    <row r="65" spans="1:9" s="41" customFormat="1" ht="14.25">
      <c r="A65" s="58" t="s">
        <v>224</v>
      </c>
      <c r="B65" s="106" t="s">
        <v>125</v>
      </c>
      <c r="C65" s="107" t="s">
        <v>370</v>
      </c>
      <c r="D65" s="103" t="s">
        <v>41</v>
      </c>
      <c r="E65" s="103">
        <v>2</v>
      </c>
      <c r="F65" s="104"/>
      <c r="G65" s="104">
        <v>0</v>
      </c>
      <c r="H65" s="53">
        <f t="shared" ref="H65:H81" si="34">F65+G65</f>
        <v>0</v>
      </c>
      <c r="I65" s="54">
        <f t="shared" si="33"/>
        <v>0</v>
      </c>
    </row>
    <row r="66" spans="1:9" s="41" customFormat="1" ht="14.25">
      <c r="A66" s="58" t="s">
        <v>225</v>
      </c>
      <c r="B66" s="103" t="s">
        <v>371</v>
      </c>
      <c r="C66" s="102" t="s">
        <v>372</v>
      </c>
      <c r="D66" s="103" t="s">
        <v>41</v>
      </c>
      <c r="E66" s="103">
        <v>1</v>
      </c>
      <c r="F66" s="104"/>
      <c r="G66" s="104"/>
      <c r="H66" s="53">
        <f t="shared" ref="H66:H67" si="35">F66+G66</f>
        <v>0</v>
      </c>
      <c r="I66" s="54">
        <f t="shared" ref="I66:I67" si="36">E66*H66</f>
        <v>0</v>
      </c>
    </row>
    <row r="67" spans="1:9" s="41" customFormat="1" ht="14.25">
      <c r="A67" s="58" t="s">
        <v>226</v>
      </c>
      <c r="B67" s="103" t="s">
        <v>373</v>
      </c>
      <c r="C67" s="102" t="s">
        <v>374</v>
      </c>
      <c r="D67" s="103" t="s">
        <v>41</v>
      </c>
      <c r="E67" s="103">
        <v>1</v>
      </c>
      <c r="F67" s="104"/>
      <c r="G67" s="104"/>
      <c r="H67" s="53">
        <f t="shared" si="35"/>
        <v>0</v>
      </c>
      <c r="I67" s="54">
        <f t="shared" si="36"/>
        <v>0</v>
      </c>
    </row>
    <row r="68" spans="1:9" s="41" customFormat="1" ht="14.25">
      <c r="A68" s="58" t="s">
        <v>227</v>
      </c>
      <c r="B68" s="103" t="s">
        <v>126</v>
      </c>
      <c r="C68" s="102" t="s">
        <v>127</v>
      </c>
      <c r="D68" s="103" t="s">
        <v>97</v>
      </c>
      <c r="E68" s="103">
        <v>10</v>
      </c>
      <c r="F68" s="104"/>
      <c r="G68" s="104"/>
      <c r="H68" s="53">
        <f t="shared" si="34"/>
        <v>0</v>
      </c>
      <c r="I68" s="54">
        <f t="shared" si="33"/>
        <v>0</v>
      </c>
    </row>
    <row r="69" spans="1:9">
      <c r="A69" s="58" t="s">
        <v>228</v>
      </c>
      <c r="B69" s="103" t="s">
        <v>128</v>
      </c>
      <c r="C69" s="102" t="s">
        <v>129</v>
      </c>
      <c r="D69" s="103" t="s">
        <v>41</v>
      </c>
      <c r="E69" s="103">
        <v>2</v>
      </c>
      <c r="F69" s="104"/>
      <c r="G69" s="104"/>
      <c r="H69" s="53">
        <f t="shared" si="34"/>
        <v>0</v>
      </c>
      <c r="I69" s="54">
        <f t="shared" si="33"/>
        <v>0</v>
      </c>
    </row>
    <row r="70" spans="1:9">
      <c r="A70" s="58" t="s">
        <v>229</v>
      </c>
      <c r="B70" s="103" t="s">
        <v>130</v>
      </c>
      <c r="C70" s="102" t="s">
        <v>131</v>
      </c>
      <c r="D70" s="103" t="s">
        <v>41</v>
      </c>
      <c r="E70" s="103">
        <v>4</v>
      </c>
      <c r="F70" s="104"/>
      <c r="G70" s="104"/>
      <c r="H70" s="53">
        <f t="shared" si="34"/>
        <v>0</v>
      </c>
      <c r="I70" s="54">
        <f t="shared" si="33"/>
        <v>0</v>
      </c>
    </row>
    <row r="71" spans="1:9">
      <c r="A71" s="58" t="s">
        <v>306</v>
      </c>
      <c r="B71" s="103" t="s">
        <v>132</v>
      </c>
      <c r="C71" s="102" t="s">
        <v>133</v>
      </c>
      <c r="D71" s="103" t="s">
        <v>41</v>
      </c>
      <c r="E71" s="103">
        <v>1</v>
      </c>
      <c r="F71" s="104"/>
      <c r="G71" s="104"/>
      <c r="H71" s="53">
        <f t="shared" si="34"/>
        <v>0</v>
      </c>
      <c r="I71" s="54">
        <f t="shared" si="33"/>
        <v>0</v>
      </c>
    </row>
    <row r="72" spans="1:9">
      <c r="A72" s="58" t="s">
        <v>307</v>
      </c>
      <c r="B72" s="103" t="s">
        <v>134</v>
      </c>
      <c r="C72" s="102" t="s">
        <v>135</v>
      </c>
      <c r="D72" s="103" t="s">
        <v>97</v>
      </c>
      <c r="E72" s="103">
        <v>2</v>
      </c>
      <c r="F72" s="104"/>
      <c r="G72" s="104"/>
      <c r="H72" s="53">
        <f t="shared" si="34"/>
        <v>0</v>
      </c>
      <c r="I72" s="54">
        <f t="shared" ref="I72:I81" si="37">E72*H72</f>
        <v>0</v>
      </c>
    </row>
    <row r="73" spans="1:9">
      <c r="A73" s="58" t="s">
        <v>308</v>
      </c>
      <c r="B73" s="103" t="s">
        <v>125</v>
      </c>
      <c r="C73" s="102" t="s">
        <v>136</v>
      </c>
      <c r="D73" s="103" t="s">
        <v>41</v>
      </c>
      <c r="E73" s="103">
        <v>1</v>
      </c>
      <c r="F73" s="104"/>
      <c r="G73" s="104">
        <v>0</v>
      </c>
      <c r="H73" s="53">
        <f t="shared" si="34"/>
        <v>0</v>
      </c>
      <c r="I73" s="54">
        <f t="shared" si="37"/>
        <v>0</v>
      </c>
    </row>
    <row r="74" spans="1:9" ht="15" customHeight="1">
      <c r="A74" s="58" t="s">
        <v>309</v>
      </c>
      <c r="B74" s="103" t="s">
        <v>137</v>
      </c>
      <c r="C74" s="102" t="s">
        <v>138</v>
      </c>
      <c r="D74" s="103" t="s">
        <v>41</v>
      </c>
      <c r="E74" s="103">
        <v>3</v>
      </c>
      <c r="F74" s="104"/>
      <c r="G74" s="104"/>
      <c r="H74" s="53">
        <f t="shared" si="34"/>
        <v>0</v>
      </c>
      <c r="I74" s="54">
        <f t="shared" si="37"/>
        <v>0</v>
      </c>
    </row>
    <row r="75" spans="1:9">
      <c r="A75" s="58" t="s">
        <v>310</v>
      </c>
      <c r="B75" s="103" t="s">
        <v>139</v>
      </c>
      <c r="C75" s="102" t="s">
        <v>140</v>
      </c>
      <c r="D75" s="103" t="s">
        <v>141</v>
      </c>
      <c r="E75" s="103">
        <v>1</v>
      </c>
      <c r="F75" s="104"/>
      <c r="G75" s="104"/>
      <c r="H75" s="53">
        <f t="shared" si="34"/>
        <v>0</v>
      </c>
      <c r="I75" s="54">
        <f t="shared" si="37"/>
        <v>0</v>
      </c>
    </row>
    <row r="76" spans="1:9">
      <c r="A76" s="58" t="s">
        <v>311</v>
      </c>
      <c r="B76" s="103" t="s">
        <v>142</v>
      </c>
      <c r="C76" s="102" t="s">
        <v>162</v>
      </c>
      <c r="D76" s="103" t="s">
        <v>141</v>
      </c>
      <c r="E76" s="103">
        <v>1</v>
      </c>
      <c r="F76" s="104"/>
      <c r="G76" s="104"/>
      <c r="H76" s="53">
        <f t="shared" si="34"/>
        <v>0</v>
      </c>
      <c r="I76" s="54">
        <f t="shared" si="37"/>
        <v>0</v>
      </c>
    </row>
    <row r="77" spans="1:9">
      <c r="A77" s="58" t="s">
        <v>312</v>
      </c>
      <c r="B77" s="89" t="s">
        <v>209</v>
      </c>
      <c r="C77" s="109" t="s">
        <v>210</v>
      </c>
      <c r="D77" s="91" t="s">
        <v>41</v>
      </c>
      <c r="E77" s="91">
        <v>1</v>
      </c>
      <c r="F77" s="92"/>
      <c r="G77" s="92"/>
      <c r="H77" s="53">
        <f t="shared" si="34"/>
        <v>0</v>
      </c>
      <c r="I77" s="54">
        <f t="shared" si="37"/>
        <v>0</v>
      </c>
    </row>
    <row r="78" spans="1:9">
      <c r="A78" s="58" t="s">
        <v>313</v>
      </c>
      <c r="B78" s="89" t="s">
        <v>211</v>
      </c>
      <c r="C78" s="109" t="s">
        <v>212</v>
      </c>
      <c r="D78" s="91" t="s">
        <v>41</v>
      </c>
      <c r="E78" s="91">
        <v>1</v>
      </c>
      <c r="F78" s="92"/>
      <c r="G78" s="92"/>
      <c r="H78" s="53">
        <f t="shared" si="34"/>
        <v>0</v>
      </c>
      <c r="I78" s="54">
        <f t="shared" si="37"/>
        <v>0</v>
      </c>
    </row>
    <row r="79" spans="1:9">
      <c r="A79" s="58" t="s">
        <v>314</v>
      </c>
      <c r="B79" s="89" t="s">
        <v>213</v>
      </c>
      <c r="C79" s="109" t="s">
        <v>214</v>
      </c>
      <c r="D79" s="91" t="s">
        <v>41</v>
      </c>
      <c r="E79" s="91">
        <v>1</v>
      </c>
      <c r="F79" s="92"/>
      <c r="G79" s="92"/>
      <c r="H79" s="53">
        <f t="shared" si="34"/>
        <v>0</v>
      </c>
      <c r="I79" s="54">
        <f t="shared" si="37"/>
        <v>0</v>
      </c>
    </row>
    <row r="80" spans="1:9">
      <c r="A80" s="58" t="s">
        <v>375</v>
      </c>
      <c r="B80" s="89" t="s">
        <v>215</v>
      </c>
      <c r="C80" s="109" t="s">
        <v>216</v>
      </c>
      <c r="D80" s="91" t="s">
        <v>41</v>
      </c>
      <c r="E80" s="91">
        <v>1</v>
      </c>
      <c r="F80" s="92"/>
      <c r="G80" s="92"/>
      <c r="H80" s="53">
        <f t="shared" si="34"/>
        <v>0</v>
      </c>
      <c r="I80" s="54">
        <f t="shared" si="37"/>
        <v>0</v>
      </c>
    </row>
    <row r="81" spans="1:9">
      <c r="A81" s="58" t="s">
        <v>376</v>
      </c>
      <c r="B81" s="89" t="s">
        <v>217</v>
      </c>
      <c r="C81" s="109" t="s">
        <v>218</v>
      </c>
      <c r="D81" s="91" t="s">
        <v>59</v>
      </c>
      <c r="E81" s="91">
        <v>5</v>
      </c>
      <c r="F81" s="92"/>
      <c r="G81" s="92"/>
      <c r="H81" s="53">
        <f t="shared" si="34"/>
        <v>0</v>
      </c>
      <c r="I81" s="54">
        <f t="shared" si="37"/>
        <v>0</v>
      </c>
    </row>
    <row r="82" spans="1:9">
      <c r="A82" s="44">
        <v>9</v>
      </c>
      <c r="B82" s="45"/>
      <c r="C82" s="46" t="s">
        <v>202</v>
      </c>
      <c r="D82" s="47"/>
      <c r="E82" s="48"/>
      <c r="F82" s="48"/>
      <c r="G82" s="48"/>
      <c r="H82" s="49"/>
      <c r="I82" s="50">
        <f>SUM(I83:I90)</f>
        <v>0</v>
      </c>
    </row>
    <row r="83" spans="1:9">
      <c r="A83" s="58" t="s">
        <v>200</v>
      </c>
      <c r="B83" s="103" t="s">
        <v>207</v>
      </c>
      <c r="C83" s="102" t="s">
        <v>208</v>
      </c>
      <c r="D83" s="103" t="s">
        <v>41</v>
      </c>
      <c r="E83" s="103">
        <v>2</v>
      </c>
      <c r="F83" s="104">
        <v>0</v>
      </c>
      <c r="G83" s="104"/>
      <c r="H83" s="53">
        <f t="shared" ref="H83:H84" si="38">F83+G83</f>
        <v>0</v>
      </c>
      <c r="I83" s="54">
        <f>E83*H83</f>
        <v>0</v>
      </c>
    </row>
    <row r="84" spans="1:9">
      <c r="A84" s="58" t="s">
        <v>201</v>
      </c>
      <c r="B84" s="103" t="s">
        <v>203</v>
      </c>
      <c r="C84" s="102" t="s">
        <v>204</v>
      </c>
      <c r="D84" s="103" t="s">
        <v>41</v>
      </c>
      <c r="E84" s="103">
        <v>2</v>
      </c>
      <c r="F84" s="104"/>
      <c r="G84" s="104"/>
      <c r="H84" s="53">
        <f t="shared" si="38"/>
        <v>0</v>
      </c>
      <c r="I84" s="54">
        <f t="shared" ref="I84" si="39">E84*H84</f>
        <v>0</v>
      </c>
    </row>
    <row r="85" spans="1:9">
      <c r="A85" s="58" t="s">
        <v>328</v>
      </c>
      <c r="B85" s="103" t="s">
        <v>205</v>
      </c>
      <c r="C85" s="102" t="s">
        <v>206</v>
      </c>
      <c r="D85" s="103" t="s">
        <v>41</v>
      </c>
      <c r="E85" s="103">
        <v>1</v>
      </c>
      <c r="F85" s="104"/>
      <c r="G85" s="104"/>
      <c r="H85" s="53">
        <f t="shared" ref="H85:H90" si="40">F85+G85</f>
        <v>0</v>
      </c>
      <c r="I85" s="54">
        <f t="shared" ref="I85:I90" si="41">E85*H85</f>
        <v>0</v>
      </c>
    </row>
    <row r="86" spans="1:9">
      <c r="A86" s="58" t="s">
        <v>329</v>
      </c>
      <c r="B86" s="103" t="s">
        <v>236</v>
      </c>
      <c r="C86" s="102" t="s">
        <v>237</v>
      </c>
      <c r="D86" s="103" t="s">
        <v>41</v>
      </c>
      <c r="E86" s="105">
        <v>1</v>
      </c>
      <c r="F86" s="104">
        <v>0</v>
      </c>
      <c r="G86" s="52"/>
      <c r="H86" s="53">
        <f t="shared" si="40"/>
        <v>0</v>
      </c>
      <c r="I86" s="54">
        <f t="shared" si="41"/>
        <v>0</v>
      </c>
    </row>
    <row r="87" spans="1:9">
      <c r="A87" s="58" t="s">
        <v>330</v>
      </c>
      <c r="B87" s="103" t="s">
        <v>294</v>
      </c>
      <c r="C87" s="102" t="s">
        <v>295</v>
      </c>
      <c r="D87" s="103" t="s">
        <v>41</v>
      </c>
      <c r="E87" s="105">
        <v>1</v>
      </c>
      <c r="F87" s="104"/>
      <c r="G87" s="52"/>
      <c r="H87" s="53">
        <f t="shared" ref="H87:H89" si="42">F87+G87</f>
        <v>0</v>
      </c>
      <c r="I87" s="54">
        <f t="shared" ref="I87:I89" si="43">E87*H87</f>
        <v>0</v>
      </c>
    </row>
    <row r="88" spans="1:9">
      <c r="A88" s="58" t="s">
        <v>331</v>
      </c>
      <c r="B88" s="103" t="s">
        <v>366</v>
      </c>
      <c r="C88" s="102" t="s">
        <v>367</v>
      </c>
      <c r="D88" s="103" t="s">
        <v>41</v>
      </c>
      <c r="E88" s="105">
        <v>1</v>
      </c>
      <c r="F88" s="104"/>
      <c r="G88" s="52"/>
      <c r="H88" s="53">
        <f t="shared" si="42"/>
        <v>0</v>
      </c>
      <c r="I88" s="54">
        <f t="shared" si="43"/>
        <v>0</v>
      </c>
    </row>
    <row r="89" spans="1:9">
      <c r="A89" s="58" t="s">
        <v>368</v>
      </c>
      <c r="B89" s="103" t="s">
        <v>361</v>
      </c>
      <c r="C89" s="102" t="s">
        <v>362</v>
      </c>
      <c r="D89" s="103" t="s">
        <v>41</v>
      </c>
      <c r="E89" s="105">
        <v>1</v>
      </c>
      <c r="F89" s="104"/>
      <c r="G89" s="52"/>
      <c r="H89" s="53">
        <f t="shared" si="42"/>
        <v>0</v>
      </c>
      <c r="I89" s="54">
        <f t="shared" si="43"/>
        <v>0</v>
      </c>
    </row>
    <row r="90" spans="1:9">
      <c r="A90" s="58" t="s">
        <v>369</v>
      </c>
      <c r="B90" s="103" t="s">
        <v>300</v>
      </c>
      <c r="C90" s="102" t="s">
        <v>301</v>
      </c>
      <c r="D90" s="103" t="s">
        <v>41</v>
      </c>
      <c r="E90" s="105">
        <v>1</v>
      </c>
      <c r="F90" s="104"/>
      <c r="G90" s="52"/>
      <c r="H90" s="53">
        <f t="shared" si="40"/>
        <v>0</v>
      </c>
      <c r="I90" s="54">
        <f t="shared" si="41"/>
        <v>0</v>
      </c>
    </row>
    <row r="91" spans="1:9">
      <c r="A91" s="44">
        <v>10</v>
      </c>
      <c r="B91" s="45"/>
      <c r="C91" s="46" t="s">
        <v>80</v>
      </c>
      <c r="D91" s="47"/>
      <c r="E91" s="48"/>
      <c r="F91" s="48"/>
      <c r="G91" s="48"/>
      <c r="H91" s="49"/>
      <c r="I91" s="50">
        <f>SUM(I92:I107)</f>
        <v>0</v>
      </c>
    </row>
    <row r="92" spans="1:9">
      <c r="A92" s="58" t="s">
        <v>219</v>
      </c>
      <c r="B92" s="89" t="s">
        <v>167</v>
      </c>
      <c r="C92" s="90" t="s">
        <v>168</v>
      </c>
      <c r="D92" s="91" t="s">
        <v>41</v>
      </c>
      <c r="E92" s="91">
        <v>1</v>
      </c>
      <c r="F92" s="92"/>
      <c r="G92" s="92"/>
      <c r="H92" s="53">
        <f t="shared" ref="H92:H95" si="44">F92+G92</f>
        <v>0</v>
      </c>
      <c r="I92" s="54">
        <f>E92*H92</f>
        <v>0</v>
      </c>
    </row>
    <row r="93" spans="1:9">
      <c r="A93" s="58" t="s">
        <v>220</v>
      </c>
      <c r="B93" s="89" t="s">
        <v>95</v>
      </c>
      <c r="C93" s="90" t="s">
        <v>96</v>
      </c>
      <c r="D93" s="91" t="s">
        <v>97</v>
      </c>
      <c r="E93" s="91">
        <v>1</v>
      </c>
      <c r="F93" s="92"/>
      <c r="G93" s="92"/>
      <c r="H93" s="53">
        <f t="shared" si="44"/>
        <v>0</v>
      </c>
      <c r="I93" s="54">
        <f t="shared" ref="I93:I96" si="45">E93*H93</f>
        <v>0</v>
      </c>
    </row>
    <row r="94" spans="1:9">
      <c r="A94" s="58" t="s">
        <v>221</v>
      </c>
      <c r="B94" s="89" t="s">
        <v>93</v>
      </c>
      <c r="C94" s="90" t="s">
        <v>94</v>
      </c>
      <c r="D94" s="91" t="s">
        <v>53</v>
      </c>
      <c r="E94" s="91">
        <f>1.1*1.2+1*1.1</f>
        <v>2.42</v>
      </c>
      <c r="F94" s="92"/>
      <c r="G94" s="92"/>
      <c r="H94" s="53">
        <f t="shared" si="44"/>
        <v>0</v>
      </c>
      <c r="I94" s="54">
        <f t="shared" si="45"/>
        <v>0</v>
      </c>
    </row>
    <row r="95" spans="1:9">
      <c r="A95" s="58" t="s">
        <v>320</v>
      </c>
      <c r="B95" s="85" t="s">
        <v>169</v>
      </c>
      <c r="C95" s="86" t="s">
        <v>170</v>
      </c>
      <c r="D95" s="87" t="s">
        <v>41</v>
      </c>
      <c r="E95" s="88">
        <v>1</v>
      </c>
      <c r="F95" s="92"/>
      <c r="G95" s="92"/>
      <c r="H95" s="53">
        <f t="shared" si="44"/>
        <v>0</v>
      </c>
      <c r="I95" s="54">
        <f t="shared" si="45"/>
        <v>0</v>
      </c>
    </row>
    <row r="96" spans="1:9">
      <c r="A96" s="58" t="s">
        <v>321</v>
      </c>
      <c r="B96" s="103" t="s">
        <v>173</v>
      </c>
      <c r="C96" s="102" t="s">
        <v>238</v>
      </c>
      <c r="D96" s="103" t="s">
        <v>53</v>
      </c>
      <c r="E96" s="105">
        <f>ROUNDUP((0.9*2.1*3)+(0.7*2.1*3),2)</f>
        <v>10.08</v>
      </c>
      <c r="F96" s="104"/>
      <c r="G96" s="52"/>
      <c r="H96" s="53">
        <f t="shared" ref="H96:H103" si="46">F96+G96</f>
        <v>0</v>
      </c>
      <c r="I96" s="54">
        <f t="shared" si="45"/>
        <v>0</v>
      </c>
    </row>
    <row r="97" spans="1:11">
      <c r="A97" s="58" t="s">
        <v>322</v>
      </c>
      <c r="B97" s="85" t="s">
        <v>171</v>
      </c>
      <c r="C97" s="86" t="s">
        <v>172</v>
      </c>
      <c r="D97" s="87" t="s">
        <v>97</v>
      </c>
      <c r="E97" s="88">
        <v>1</v>
      </c>
      <c r="F97" s="92"/>
      <c r="G97" s="92"/>
      <c r="H97" s="53">
        <f t="shared" si="46"/>
        <v>0</v>
      </c>
      <c r="I97" s="54">
        <f t="shared" ref="I97:I103" si="47">E97*H97</f>
        <v>0</v>
      </c>
    </row>
    <row r="98" spans="1:11">
      <c r="A98" s="58" t="s">
        <v>323</v>
      </c>
      <c r="B98" s="89" t="s">
        <v>197</v>
      </c>
      <c r="C98" s="90" t="s">
        <v>198</v>
      </c>
      <c r="D98" s="91" t="s">
        <v>53</v>
      </c>
      <c r="E98" s="91">
        <f>ROUNDUP(40.44+6.5,0)</f>
        <v>47</v>
      </c>
      <c r="F98" s="92"/>
      <c r="G98" s="92"/>
      <c r="H98" s="53">
        <f t="shared" si="46"/>
        <v>0</v>
      </c>
      <c r="I98" s="54">
        <f t="shared" si="47"/>
        <v>0</v>
      </c>
    </row>
    <row r="99" spans="1:11">
      <c r="A99" s="58" t="s">
        <v>324</v>
      </c>
      <c r="B99" s="89" t="s">
        <v>195</v>
      </c>
      <c r="C99" s="90" t="s">
        <v>196</v>
      </c>
      <c r="D99" s="91" t="s">
        <v>53</v>
      </c>
      <c r="E99" s="91">
        <f>E98</f>
        <v>47</v>
      </c>
      <c r="F99" s="92"/>
      <c r="G99" s="92"/>
      <c r="H99" s="53">
        <f t="shared" si="46"/>
        <v>0</v>
      </c>
      <c r="I99" s="54">
        <f t="shared" si="47"/>
        <v>0</v>
      </c>
    </row>
    <row r="100" spans="1:11" ht="25.5">
      <c r="A100" s="58" t="s">
        <v>325</v>
      </c>
      <c r="B100" s="89" t="s">
        <v>178</v>
      </c>
      <c r="C100" s="90" t="s">
        <v>179</v>
      </c>
      <c r="D100" s="91" t="s">
        <v>53</v>
      </c>
      <c r="E100" s="91">
        <f>ROUNDUP((1.4*2+1.9*2)*2+2*2,1)</f>
        <v>17.2</v>
      </c>
      <c r="F100" s="92"/>
      <c r="G100" s="92"/>
      <c r="H100" s="53">
        <f t="shared" si="46"/>
        <v>0</v>
      </c>
      <c r="I100" s="54">
        <f t="shared" si="47"/>
        <v>0</v>
      </c>
      <c r="J100" s="41"/>
      <c r="K100" s="41"/>
    </row>
    <row r="101" spans="1:11" ht="15" customHeight="1">
      <c r="A101" s="58" t="s">
        <v>326</v>
      </c>
      <c r="B101" s="89" t="s">
        <v>358</v>
      </c>
      <c r="C101" s="90" t="s">
        <v>359</v>
      </c>
      <c r="D101" s="91" t="s">
        <v>41</v>
      </c>
      <c r="E101" s="91">
        <v>1</v>
      </c>
      <c r="F101" s="92"/>
      <c r="G101" s="92"/>
      <c r="H101" s="53">
        <f t="shared" ref="H101:H102" si="48">F101+G101</f>
        <v>0</v>
      </c>
      <c r="I101" s="54">
        <f t="shared" ref="I101:I102" si="49">E101*H101</f>
        <v>0</v>
      </c>
      <c r="J101" s="41"/>
      <c r="K101" s="41"/>
    </row>
    <row r="102" spans="1:11" ht="15" customHeight="1">
      <c r="A102" s="58" t="s">
        <v>327</v>
      </c>
      <c r="B102" s="89" t="s">
        <v>296</v>
      </c>
      <c r="C102" s="90" t="s">
        <v>297</v>
      </c>
      <c r="D102" s="91" t="s">
        <v>41</v>
      </c>
      <c r="E102" s="91">
        <v>1</v>
      </c>
      <c r="F102" s="92"/>
      <c r="G102" s="92"/>
      <c r="H102" s="53">
        <f t="shared" si="48"/>
        <v>0</v>
      </c>
      <c r="I102" s="54">
        <f t="shared" si="49"/>
        <v>0</v>
      </c>
    </row>
    <row r="103" spans="1:11" ht="15" customHeight="1">
      <c r="A103" s="58" t="s">
        <v>360</v>
      </c>
      <c r="B103" s="89" t="s">
        <v>298</v>
      </c>
      <c r="C103" s="90" t="s">
        <v>299</v>
      </c>
      <c r="D103" s="91" t="s">
        <v>41</v>
      </c>
      <c r="E103" s="91">
        <v>1</v>
      </c>
      <c r="F103" s="92"/>
      <c r="G103" s="92"/>
      <c r="H103" s="53">
        <f t="shared" si="46"/>
        <v>0</v>
      </c>
      <c r="I103" s="54">
        <f t="shared" si="47"/>
        <v>0</v>
      </c>
    </row>
    <row r="104" spans="1:11" ht="15" customHeight="1">
      <c r="A104" s="58" t="s">
        <v>365</v>
      </c>
      <c r="B104" s="89" t="s">
        <v>363</v>
      </c>
      <c r="C104" s="90" t="s">
        <v>364</v>
      </c>
      <c r="D104" s="91" t="s">
        <v>41</v>
      </c>
      <c r="E104" s="91">
        <v>1</v>
      </c>
      <c r="F104" s="92"/>
      <c r="G104" s="92"/>
      <c r="H104" s="53">
        <f t="shared" ref="H104" si="50">F104+G104</f>
        <v>0</v>
      </c>
      <c r="I104" s="54">
        <f t="shared" ref="I104" si="51">E104*H104</f>
        <v>0</v>
      </c>
    </row>
    <row r="105" spans="1:11" ht="15" customHeight="1">
      <c r="A105" s="58" t="s">
        <v>390</v>
      </c>
      <c r="B105" s="89" t="s">
        <v>386</v>
      </c>
      <c r="C105" s="90" t="s">
        <v>387</v>
      </c>
      <c r="D105" s="91" t="s">
        <v>53</v>
      </c>
      <c r="E105" s="91">
        <f>14.28+2.66</f>
        <v>16.939999999999998</v>
      </c>
      <c r="F105" s="92"/>
      <c r="G105" s="92"/>
      <c r="H105" s="53">
        <f t="shared" ref="H105:H106" si="52">F105+G105</f>
        <v>0</v>
      </c>
      <c r="I105" s="54">
        <f t="shared" ref="I105:I106" si="53">E105*H105</f>
        <v>0</v>
      </c>
    </row>
    <row r="106" spans="1:11" ht="15" customHeight="1">
      <c r="A106" s="58" t="s">
        <v>391</v>
      </c>
      <c r="B106" s="89" t="s">
        <v>388</v>
      </c>
      <c r="C106" s="90" t="s">
        <v>389</v>
      </c>
      <c r="D106" s="91" t="s">
        <v>59</v>
      </c>
      <c r="E106" s="91">
        <v>15</v>
      </c>
      <c r="F106" s="92"/>
      <c r="G106" s="92"/>
      <c r="H106" s="53">
        <f t="shared" si="52"/>
        <v>0</v>
      </c>
      <c r="I106" s="54">
        <f t="shared" si="53"/>
        <v>0</v>
      </c>
    </row>
    <row r="107" spans="1:11">
      <c r="A107" s="58"/>
      <c r="B107" s="131"/>
      <c r="C107" s="132"/>
      <c r="D107" s="133"/>
      <c r="E107" s="133"/>
      <c r="F107" s="134"/>
      <c r="G107" s="134"/>
      <c r="H107" s="135"/>
      <c r="I107" s="59"/>
    </row>
    <row r="108" spans="1:11">
      <c r="A108" s="44">
        <v>11</v>
      </c>
      <c r="B108" s="45"/>
      <c r="C108" s="46" t="s">
        <v>302</v>
      </c>
      <c r="D108" s="47"/>
      <c r="E108" s="48"/>
      <c r="F108" s="48"/>
      <c r="G108" s="48"/>
      <c r="H108" s="49"/>
      <c r="I108" s="50">
        <f>SUM(I109:I112)</f>
        <v>0</v>
      </c>
    </row>
    <row r="109" spans="1:11">
      <c r="A109" s="58" t="s">
        <v>315</v>
      </c>
      <c r="B109" s="89" t="s">
        <v>174</v>
      </c>
      <c r="C109" s="90" t="s">
        <v>175</v>
      </c>
      <c r="D109" s="91" t="s">
        <v>53</v>
      </c>
      <c r="E109" s="91">
        <f>ROUNDUP(53.61+E18+(E15-(7.1*0.64))+(7.7*2+5*2)*1,0)</f>
        <v>100</v>
      </c>
      <c r="F109" s="92"/>
      <c r="G109" s="92"/>
      <c r="H109" s="53">
        <f t="shared" ref="H109:H110" si="54">F109+G109</f>
        <v>0</v>
      </c>
      <c r="I109" s="54">
        <f t="shared" ref="I109:I110" si="55">E109*H109</f>
        <v>0</v>
      </c>
    </row>
    <row r="110" spans="1:11">
      <c r="A110" s="58" t="s">
        <v>317</v>
      </c>
      <c r="B110" s="89" t="s">
        <v>176</v>
      </c>
      <c r="C110" s="90" t="s">
        <v>177</v>
      </c>
      <c r="D110" s="91" t="s">
        <v>53</v>
      </c>
      <c r="E110" s="91">
        <f>E109</f>
        <v>100</v>
      </c>
      <c r="F110" s="92"/>
      <c r="G110" s="92"/>
      <c r="H110" s="53">
        <f t="shared" si="54"/>
        <v>0</v>
      </c>
      <c r="I110" s="54">
        <f t="shared" si="55"/>
        <v>0</v>
      </c>
    </row>
    <row r="111" spans="1:11">
      <c r="A111" s="58" t="s">
        <v>385</v>
      </c>
      <c r="B111" s="89" t="s">
        <v>383</v>
      </c>
      <c r="C111" s="90" t="s">
        <v>384</v>
      </c>
      <c r="D111" s="91" t="s">
        <v>53</v>
      </c>
      <c r="E111" s="91">
        <v>2</v>
      </c>
      <c r="F111" s="92"/>
      <c r="G111" s="92"/>
      <c r="H111" s="53">
        <f t="shared" ref="H111" si="56">F111+G111</f>
        <v>0</v>
      </c>
      <c r="I111" s="54">
        <f t="shared" ref="I111" si="57">E111*H111</f>
        <v>0</v>
      </c>
    </row>
    <row r="112" spans="1:11">
      <c r="A112" s="58"/>
      <c r="B112" s="131"/>
      <c r="C112" s="132"/>
      <c r="D112" s="133"/>
      <c r="E112" s="133"/>
      <c r="F112" s="134"/>
      <c r="G112" s="134"/>
      <c r="H112" s="135"/>
      <c r="I112" s="59"/>
    </row>
    <row r="113" spans="1:12">
      <c r="A113" s="44">
        <v>12</v>
      </c>
      <c r="B113" s="45"/>
      <c r="C113" s="46" t="s">
        <v>272</v>
      </c>
      <c r="D113" s="47"/>
      <c r="E113" s="48"/>
      <c r="F113" s="48"/>
      <c r="G113" s="48"/>
      <c r="H113" s="49"/>
      <c r="I113" s="50">
        <f>SUM(I114:I116)</f>
        <v>0</v>
      </c>
    </row>
    <row r="114" spans="1:12">
      <c r="A114" s="58" t="s">
        <v>316</v>
      </c>
      <c r="B114" s="89" t="s">
        <v>102</v>
      </c>
      <c r="C114" s="90" t="s">
        <v>103</v>
      </c>
      <c r="D114" s="91" t="s">
        <v>41</v>
      </c>
      <c r="E114" s="91">
        <v>1</v>
      </c>
      <c r="F114" s="92"/>
      <c r="G114" s="92"/>
      <c r="H114" s="53">
        <f t="shared" ref="H114:H115" si="58">F114+G114</f>
        <v>0</v>
      </c>
      <c r="I114" s="54">
        <f t="shared" ref="I114:I115" si="59">E114*H114</f>
        <v>0</v>
      </c>
    </row>
    <row r="115" spans="1:12">
      <c r="A115" s="58" t="s">
        <v>318</v>
      </c>
      <c r="B115" s="89" t="s">
        <v>111</v>
      </c>
      <c r="C115" s="90" t="s">
        <v>112</v>
      </c>
      <c r="D115" s="91" t="s">
        <v>41</v>
      </c>
      <c r="E115" s="91">
        <v>1</v>
      </c>
      <c r="F115" s="92"/>
      <c r="G115" s="92"/>
      <c r="H115" s="53">
        <f t="shared" si="58"/>
        <v>0</v>
      </c>
      <c r="I115" s="54">
        <f t="shared" si="59"/>
        <v>0</v>
      </c>
    </row>
    <row r="116" spans="1:12">
      <c r="A116" s="58" t="s">
        <v>319</v>
      </c>
      <c r="B116" s="89" t="s">
        <v>109</v>
      </c>
      <c r="C116" s="90" t="s">
        <v>110</v>
      </c>
      <c r="D116" s="91" t="s">
        <v>41</v>
      </c>
      <c r="E116" s="91">
        <v>1</v>
      </c>
      <c r="F116" s="92"/>
      <c r="G116" s="92"/>
      <c r="H116" s="53">
        <f t="shared" ref="H116" si="60">F116+G116</f>
        <v>0</v>
      </c>
      <c r="I116" s="54">
        <f t="shared" ref="I116" si="61">E116*H116</f>
        <v>0</v>
      </c>
    </row>
    <row r="117" spans="1:12">
      <c r="A117" s="58"/>
      <c r="B117" s="60"/>
      <c r="C117" s="61"/>
      <c r="D117" s="60"/>
      <c r="E117" s="62"/>
      <c r="F117" s="62"/>
      <c r="G117" s="62"/>
      <c r="H117" s="62"/>
      <c r="I117" s="59"/>
    </row>
    <row r="118" spans="1:12">
      <c r="A118" s="63"/>
      <c r="B118" s="64"/>
      <c r="C118" s="64" t="s">
        <v>27</v>
      </c>
      <c r="D118" s="65"/>
      <c r="E118" s="66"/>
      <c r="F118" s="66"/>
      <c r="G118" s="66"/>
      <c r="H118" s="67"/>
      <c r="I118" s="68">
        <f>I3+I24+I31+I45+I52+I58+I82+I91+I108+I113+I14+I17</f>
        <v>0</v>
      </c>
      <c r="L118" s="128">
        <f>'calculo BDI'!C$36</f>
        <v>6.2300000000000001E-2</v>
      </c>
    </row>
    <row r="119" spans="1:12">
      <c r="A119" s="69"/>
      <c r="B119" s="70"/>
      <c r="C119" s="70" t="str">
        <f>CONCATENATE("ADMINISTRAÇÃO LOCAL (",L118*100,"%)")</f>
        <v>ADMINISTRAÇÃO LOCAL (6,23%)</v>
      </c>
      <c r="D119" s="71"/>
      <c r="E119" s="72"/>
      <c r="F119" s="72"/>
      <c r="G119" s="72"/>
      <c r="H119" s="73"/>
      <c r="I119" s="74">
        <f>I118*L118</f>
        <v>0</v>
      </c>
      <c r="L119" s="128">
        <f>'calculo BDI'!C$26</f>
        <v>0.25650000000000001</v>
      </c>
    </row>
    <row r="120" spans="1:12">
      <c r="A120" s="75"/>
      <c r="B120" s="76"/>
      <c r="C120" s="70" t="str">
        <f>CONCATENATE("BDI (",L119*100,"%)")</f>
        <v>BDI (25,65%)</v>
      </c>
      <c r="D120" s="77"/>
      <c r="E120" s="78"/>
      <c r="F120" s="78"/>
      <c r="G120" s="78"/>
      <c r="H120" s="79"/>
      <c r="I120" s="80">
        <f>(I119+I118)*L119</f>
        <v>0</v>
      </c>
    </row>
    <row r="121" spans="1:12">
      <c r="A121" s="81"/>
      <c r="B121" s="82"/>
      <c r="C121" s="82" t="s">
        <v>28</v>
      </c>
      <c r="D121" s="83"/>
      <c r="E121" s="84"/>
      <c r="F121" s="84"/>
      <c r="G121" s="84"/>
      <c r="H121" s="197">
        <f>SUM(I118:I120)</f>
        <v>0</v>
      </c>
      <c r="I121" s="198"/>
    </row>
    <row r="123" spans="1:12">
      <c r="I123" t="str">
        <f>IF(SUM(I3:I116)/2=I118,"ok","falso")</f>
        <v>ok</v>
      </c>
    </row>
  </sheetData>
  <mergeCells count="7">
    <mergeCell ref="H121:I121"/>
    <mergeCell ref="A1:A2"/>
    <mergeCell ref="B1:B2"/>
    <mergeCell ref="C1:C2"/>
    <mergeCell ref="D1:D2"/>
    <mergeCell ref="E1:E2"/>
    <mergeCell ref="F1:I1"/>
  </mergeCells>
  <pageMargins left="0.511811024" right="0.511811024" top="0.78740157499999996" bottom="0.78740157499999996" header="0.31496062000000002" footer="0.31496062000000002"/>
  <pageSetup paperSize="9" scale="65" orientation="landscape" r:id="rId1"/>
  <headerFooter>
    <oddHeader>&amp;C&amp;"-,Negrito"&amp;14PE Itutinga-Pilões - &amp;A
&amp;RCPOS 175 - Mar/2019</oddHeader>
    <oddFooter>&amp;L&amp;"Verdana,Negrito"&amp;8Fundação Florestal&amp;"Verdana,Normal" | Av. Prof. Frederico Hermann Jr 345 | CEP 05459-010
São Paulo, SP | Fone (11) 2997-5000 | www.fflorestal.sp.gov.br&amp;R&amp;G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="90" zoomScaleNormal="90" zoomScalePageLayoutView="80" workbookViewId="0">
      <selection activeCell="L10" sqref="L10"/>
    </sheetView>
  </sheetViews>
  <sheetFormatPr defaultRowHeight="15"/>
  <cols>
    <col min="1" max="1" width="6.7109375" bestFit="1" customWidth="1"/>
    <col min="2" max="2" width="20.85546875" bestFit="1" customWidth="1"/>
    <col min="3" max="3" width="102.7109375" bestFit="1" customWidth="1"/>
    <col min="4" max="4" width="10" bestFit="1" customWidth="1"/>
    <col min="5" max="5" width="12.7109375" bestFit="1" customWidth="1"/>
    <col min="6" max="6" width="11.7109375" customWidth="1"/>
    <col min="7" max="8" width="12.7109375" bestFit="1" customWidth="1"/>
    <col min="9" max="9" width="17.5703125" bestFit="1" customWidth="1"/>
    <col min="12" max="12" width="15.28515625" customWidth="1"/>
    <col min="13" max="13" width="37.5703125" customWidth="1"/>
  </cols>
  <sheetData>
    <row r="1" spans="1:12" s="41" customFormat="1" ht="18" customHeight="1">
      <c r="A1" s="199" t="s">
        <v>0</v>
      </c>
      <c r="B1" s="201" t="s">
        <v>18</v>
      </c>
      <c r="C1" s="201" t="s">
        <v>19</v>
      </c>
      <c r="D1" s="203" t="s">
        <v>20</v>
      </c>
      <c r="E1" s="205" t="s">
        <v>21</v>
      </c>
      <c r="F1" s="207" t="s">
        <v>22</v>
      </c>
      <c r="G1" s="207"/>
      <c r="H1" s="207"/>
      <c r="I1" s="208"/>
    </row>
    <row r="2" spans="1:12" s="41" customFormat="1" ht="18" customHeight="1">
      <c r="A2" s="200"/>
      <c r="B2" s="202"/>
      <c r="C2" s="202"/>
      <c r="D2" s="204"/>
      <c r="E2" s="206"/>
      <c r="F2" s="42" t="s">
        <v>23</v>
      </c>
      <c r="G2" s="42" t="s">
        <v>24</v>
      </c>
      <c r="H2" s="42" t="s">
        <v>25</v>
      </c>
      <c r="I2" s="43" t="s">
        <v>16</v>
      </c>
    </row>
    <row r="3" spans="1:12" s="41" customFormat="1" ht="15" customHeight="1">
      <c r="A3" s="44">
        <v>1</v>
      </c>
      <c r="B3" s="45"/>
      <c r="C3" s="46" t="s">
        <v>332</v>
      </c>
      <c r="D3" s="47"/>
      <c r="E3" s="48"/>
      <c r="F3" s="48"/>
      <c r="G3" s="48"/>
      <c r="H3" s="49"/>
      <c r="I3" s="50">
        <f>SUM(I4:I8)</f>
        <v>0</v>
      </c>
    </row>
    <row r="4" spans="1:12" s="41" customFormat="1" ht="14.25">
      <c r="A4" s="58" t="s">
        <v>29</v>
      </c>
      <c r="B4" s="89" t="s">
        <v>189</v>
      </c>
      <c r="C4" s="90" t="s">
        <v>190</v>
      </c>
      <c r="D4" s="91" t="s">
        <v>65</v>
      </c>
      <c r="E4" s="91">
        <f>ROUNDUP((5.5*3.2)*0.4,2)</f>
        <v>7.04</v>
      </c>
      <c r="F4" s="92">
        <v>0</v>
      </c>
      <c r="G4" s="92"/>
      <c r="H4" s="53">
        <f t="shared" ref="H4" si="0">F4+G4</f>
        <v>0</v>
      </c>
      <c r="I4" s="54">
        <f t="shared" ref="I4" si="1">E4*H4</f>
        <v>0</v>
      </c>
    </row>
    <row r="5" spans="1:12" s="41" customFormat="1" ht="15" customHeight="1">
      <c r="A5" s="58" t="s">
        <v>30</v>
      </c>
      <c r="B5" s="89" t="s">
        <v>191</v>
      </c>
      <c r="C5" s="90" t="s">
        <v>192</v>
      </c>
      <c r="D5" s="91" t="s">
        <v>65</v>
      </c>
      <c r="E5" s="91">
        <f>ROUNDUP(((5.5*2)+(3.2*2))*0.19*0.8,0)</f>
        <v>3</v>
      </c>
      <c r="F5" s="92">
        <v>0</v>
      </c>
      <c r="G5" s="92"/>
      <c r="H5" s="53">
        <f t="shared" ref="H5:H7" si="2">F5+G5</f>
        <v>0</v>
      </c>
      <c r="I5" s="54">
        <f t="shared" ref="I5:I7" si="3">E5*H5</f>
        <v>0</v>
      </c>
    </row>
    <row r="6" spans="1:12" s="41" customFormat="1" ht="15" customHeight="1">
      <c r="A6" s="58" t="s">
        <v>31</v>
      </c>
      <c r="B6" s="89" t="s">
        <v>240</v>
      </c>
      <c r="C6" s="90" t="s">
        <v>241</v>
      </c>
      <c r="D6" s="91" t="s">
        <v>65</v>
      </c>
      <c r="E6" s="91">
        <f>ROUNDUP(((5.5*2)+(3.2*2)+1.5*2)*0.19*3,0)</f>
        <v>12</v>
      </c>
      <c r="F6" s="92">
        <v>0</v>
      </c>
      <c r="G6" s="92"/>
      <c r="H6" s="53">
        <f t="shared" si="2"/>
        <v>0</v>
      </c>
      <c r="I6" s="54">
        <f t="shared" si="3"/>
        <v>0</v>
      </c>
    </row>
    <row r="7" spans="1:12" s="41" customFormat="1" ht="27" customHeight="1">
      <c r="A7" s="58" t="s">
        <v>32</v>
      </c>
      <c r="B7" s="89" t="s">
        <v>83</v>
      </c>
      <c r="C7" s="90" t="s">
        <v>84</v>
      </c>
      <c r="D7" s="91" t="s">
        <v>65</v>
      </c>
      <c r="E7" s="91">
        <f>ROUNDUP((SUM(E4:E6)*1.3),2)</f>
        <v>28.66</v>
      </c>
      <c r="F7" s="92"/>
      <c r="G7" s="92"/>
      <c r="H7" s="53">
        <f t="shared" si="2"/>
        <v>0</v>
      </c>
      <c r="I7" s="54">
        <f t="shared" si="3"/>
        <v>0</v>
      </c>
    </row>
    <row r="8" spans="1:12" s="41" customFormat="1" ht="15" customHeight="1">
      <c r="A8" s="58" t="s">
        <v>33</v>
      </c>
      <c r="B8" s="89"/>
      <c r="C8" s="90"/>
      <c r="D8" s="91"/>
      <c r="E8" s="91"/>
      <c r="F8" s="92"/>
      <c r="G8" s="92"/>
      <c r="H8" s="53">
        <f t="shared" ref="H8" si="4">G8+F8</f>
        <v>0</v>
      </c>
      <c r="I8" s="54">
        <f t="shared" ref="I8" si="5">H8*E8</f>
        <v>0</v>
      </c>
    </row>
    <row r="9" spans="1:12" s="41" customFormat="1" ht="25.5" customHeight="1">
      <c r="A9" s="63"/>
      <c r="B9" s="64"/>
      <c r="C9" s="64" t="s">
        <v>27</v>
      </c>
      <c r="D9" s="65"/>
      <c r="E9" s="66"/>
      <c r="F9" s="66"/>
      <c r="G9" s="66"/>
      <c r="H9" s="67"/>
      <c r="I9" s="68">
        <f>+I3</f>
        <v>0</v>
      </c>
    </row>
    <row r="10" spans="1:12" s="41" customFormat="1" ht="15" customHeight="1">
      <c r="A10" s="69"/>
      <c r="B10" s="70"/>
      <c r="C10" s="70" t="str">
        <f>CONCATENATE("ADMINISTRAÇÃO LOCAL (",L10*100,"%)")</f>
        <v>ADMINISTRAÇÃO LOCAL (6,23%)</v>
      </c>
      <c r="D10" s="71"/>
      <c r="E10" s="72"/>
      <c r="F10" s="72"/>
      <c r="G10" s="72"/>
      <c r="H10" s="73"/>
      <c r="I10" s="74">
        <f>I9*L10</f>
        <v>0</v>
      </c>
      <c r="L10" s="128">
        <f>'calculo BDI'!C$36</f>
        <v>6.2300000000000001E-2</v>
      </c>
    </row>
    <row r="11" spans="1:12" s="41" customFormat="1" ht="15" customHeight="1">
      <c r="A11" s="75"/>
      <c r="B11" s="76"/>
      <c r="C11" s="70" t="str">
        <f>CONCATENATE("BDI (",L11*100,"%)")</f>
        <v>BDI (25,65%)</v>
      </c>
      <c r="D11" s="77"/>
      <c r="E11" s="78"/>
      <c r="F11" s="78"/>
      <c r="G11" s="78"/>
      <c r="H11" s="79"/>
      <c r="I11" s="80">
        <f>(I10+I9)*L11</f>
        <v>0</v>
      </c>
      <c r="L11" s="128">
        <f>'calculo BDI'!C$26</f>
        <v>0.25650000000000001</v>
      </c>
    </row>
    <row r="12" spans="1:12" s="41" customFormat="1" ht="15" customHeight="1">
      <c r="A12" s="81"/>
      <c r="B12" s="82"/>
      <c r="C12" s="82" t="s">
        <v>28</v>
      </c>
      <c r="D12" s="83"/>
      <c r="E12" s="84"/>
      <c r="F12" s="84"/>
      <c r="G12" s="84"/>
      <c r="H12" s="197">
        <f>SUM(I9:I11)</f>
        <v>0</v>
      </c>
      <c r="I12" s="198"/>
    </row>
    <row r="13" spans="1:12" s="41" customFormat="1" ht="15" customHeight="1">
      <c r="A13"/>
      <c r="B13"/>
      <c r="C13"/>
      <c r="D13"/>
      <c r="E13"/>
      <c r="F13"/>
      <c r="G13"/>
      <c r="H13"/>
      <c r="I13"/>
    </row>
    <row r="14" spans="1:12" s="41" customFormat="1" ht="15" customHeight="1">
      <c r="A14"/>
      <c r="B14"/>
      <c r="C14"/>
      <c r="D14"/>
      <c r="E14"/>
      <c r="F14"/>
      <c r="G14"/>
      <c r="H14"/>
      <c r="I14"/>
    </row>
    <row r="15" spans="1:12" s="41" customFormat="1" ht="25.5" customHeight="1">
      <c r="A15"/>
      <c r="B15"/>
      <c r="C15"/>
      <c r="D15"/>
      <c r="E15"/>
      <c r="F15"/>
      <c r="G15"/>
      <c r="H15"/>
      <c r="I15"/>
    </row>
    <row r="16" spans="1:12" s="41" customFormat="1" ht="15" customHeight="1">
      <c r="A16"/>
      <c r="B16"/>
      <c r="C16"/>
      <c r="D16"/>
      <c r="E16"/>
      <c r="F16"/>
      <c r="G16"/>
      <c r="H16"/>
      <c r="I16"/>
    </row>
    <row r="17" spans="1:9" s="41" customFormat="1" ht="15" customHeight="1">
      <c r="A17"/>
      <c r="B17"/>
      <c r="C17"/>
      <c r="D17"/>
      <c r="E17"/>
      <c r="F17"/>
      <c r="G17"/>
      <c r="H17"/>
      <c r="I17"/>
    </row>
    <row r="18" spans="1:9" s="41" customFormat="1" ht="15" customHeight="1">
      <c r="A18"/>
      <c r="B18"/>
      <c r="C18"/>
      <c r="D18"/>
      <c r="E18"/>
      <c r="F18"/>
      <c r="G18"/>
      <c r="H18"/>
      <c r="I18"/>
    </row>
    <row r="19" spans="1:9" s="41" customFormat="1" ht="15" customHeight="1">
      <c r="A19"/>
      <c r="B19"/>
      <c r="C19"/>
      <c r="D19"/>
      <c r="E19"/>
      <c r="F19"/>
      <c r="G19"/>
      <c r="H19"/>
      <c r="I19"/>
    </row>
    <row r="20" spans="1:9" s="41" customFormat="1" ht="15" customHeight="1">
      <c r="A20"/>
      <c r="B20"/>
      <c r="C20"/>
      <c r="D20"/>
      <c r="E20"/>
      <c r="F20"/>
      <c r="G20"/>
      <c r="H20"/>
      <c r="I20"/>
    </row>
    <row r="21" spans="1:9" s="41" customFormat="1" ht="15" customHeight="1">
      <c r="A21"/>
      <c r="B21"/>
      <c r="C21"/>
      <c r="D21"/>
      <c r="E21"/>
      <c r="F21"/>
      <c r="G21"/>
      <c r="H21"/>
      <c r="I21"/>
    </row>
    <row r="22" spans="1:9" s="41" customFormat="1" ht="15" customHeight="1">
      <c r="A22"/>
      <c r="B22"/>
      <c r="C22"/>
      <c r="D22"/>
      <c r="E22"/>
      <c r="F22"/>
      <c r="G22"/>
      <c r="H22"/>
      <c r="I22"/>
    </row>
    <row r="23" spans="1:9" s="41" customFormat="1" ht="32.25" customHeight="1">
      <c r="A23"/>
      <c r="B23"/>
      <c r="C23"/>
      <c r="D23"/>
      <c r="F23"/>
      <c r="G23"/>
      <c r="H23"/>
      <c r="I23"/>
    </row>
    <row r="24" spans="1:9" s="41" customFormat="1" ht="15" customHeight="1">
      <c r="A24"/>
      <c r="B24"/>
      <c r="C24"/>
      <c r="D24"/>
      <c r="E24"/>
      <c r="F24"/>
      <c r="G24"/>
      <c r="H24"/>
      <c r="I24"/>
    </row>
    <row r="25" spans="1:9" s="41" customFormat="1" ht="30" customHeight="1">
      <c r="A25"/>
      <c r="B25"/>
      <c r="C25"/>
      <c r="D25"/>
      <c r="E25"/>
      <c r="F25"/>
      <c r="G25"/>
      <c r="H25"/>
      <c r="I25"/>
    </row>
    <row r="26" spans="1:9" s="41" customFormat="1" ht="15" customHeight="1">
      <c r="A26"/>
      <c r="B26"/>
      <c r="C26"/>
      <c r="D26"/>
      <c r="E26"/>
      <c r="F26"/>
      <c r="G26"/>
      <c r="H26"/>
      <c r="I26"/>
    </row>
    <row r="27" spans="1:9" s="41" customFormat="1" ht="15" customHeight="1">
      <c r="A27"/>
      <c r="B27"/>
      <c r="C27"/>
      <c r="D27"/>
      <c r="E27"/>
      <c r="F27"/>
      <c r="G27"/>
      <c r="H27"/>
      <c r="I27"/>
    </row>
    <row r="28" spans="1:9" s="41" customFormat="1" ht="15" customHeight="1">
      <c r="A28"/>
      <c r="B28"/>
      <c r="C28"/>
      <c r="D28"/>
      <c r="E28"/>
      <c r="F28"/>
      <c r="G28"/>
      <c r="H28"/>
      <c r="I28"/>
    </row>
    <row r="29" spans="1:9" s="41" customFormat="1" ht="30" customHeight="1">
      <c r="A29"/>
      <c r="B29"/>
      <c r="C29"/>
      <c r="D29"/>
      <c r="E29"/>
      <c r="F29"/>
      <c r="G29"/>
      <c r="H29"/>
      <c r="I29"/>
    </row>
    <row r="30" spans="1:9" s="41" customFormat="1" ht="15" customHeight="1">
      <c r="A30"/>
      <c r="B30"/>
      <c r="C30"/>
      <c r="D30"/>
      <c r="E30"/>
      <c r="F30"/>
      <c r="G30"/>
      <c r="H30"/>
      <c r="I30"/>
    </row>
    <row r="31" spans="1:9" s="41" customFormat="1" ht="29.25" customHeight="1">
      <c r="A31"/>
      <c r="B31"/>
      <c r="C31"/>
      <c r="D31"/>
      <c r="E31"/>
      <c r="F31"/>
      <c r="G31"/>
      <c r="H31"/>
      <c r="I31"/>
    </row>
    <row r="32" spans="1:9" s="41" customFormat="1" ht="15" customHeight="1">
      <c r="A32"/>
      <c r="B32"/>
      <c r="C32"/>
      <c r="D32"/>
      <c r="E32"/>
      <c r="F32"/>
      <c r="G32"/>
      <c r="H32"/>
      <c r="I32"/>
    </row>
    <row r="33" spans="1:9" s="41" customFormat="1" ht="15" customHeight="1">
      <c r="A33"/>
      <c r="B33"/>
      <c r="C33"/>
      <c r="D33"/>
      <c r="E33"/>
      <c r="F33"/>
      <c r="G33"/>
      <c r="H33"/>
      <c r="I33"/>
    </row>
    <row r="34" spans="1:9" s="41" customFormat="1" ht="15" customHeight="1">
      <c r="A34"/>
      <c r="B34"/>
      <c r="C34"/>
      <c r="D34"/>
      <c r="E34"/>
      <c r="F34"/>
      <c r="G34"/>
      <c r="H34"/>
      <c r="I34"/>
    </row>
    <row r="35" spans="1:9" s="41" customFormat="1" ht="15" customHeight="1">
      <c r="A35"/>
      <c r="B35"/>
      <c r="C35"/>
      <c r="D35"/>
      <c r="E35"/>
      <c r="F35"/>
      <c r="G35"/>
      <c r="H35"/>
      <c r="I35"/>
    </row>
    <row r="36" spans="1:9" s="41" customFormat="1" ht="15" customHeight="1">
      <c r="A36"/>
      <c r="B36"/>
      <c r="C36"/>
      <c r="D36"/>
      <c r="E36"/>
      <c r="F36"/>
      <c r="G36"/>
      <c r="H36"/>
      <c r="I36"/>
    </row>
    <row r="37" spans="1:9" s="41" customFormat="1" ht="15" customHeight="1">
      <c r="A37"/>
      <c r="B37"/>
      <c r="C37"/>
      <c r="D37"/>
      <c r="E37"/>
      <c r="F37"/>
      <c r="G37"/>
      <c r="H37"/>
      <c r="I37"/>
    </row>
    <row r="38" spans="1:9" s="41" customFormat="1" ht="24.75" customHeight="1">
      <c r="A38"/>
      <c r="B38"/>
      <c r="C38"/>
      <c r="D38"/>
      <c r="E38"/>
      <c r="F38"/>
      <c r="G38"/>
      <c r="H38"/>
      <c r="I38"/>
    </row>
    <row r="39" spans="1:9" s="41" customFormat="1" ht="15" customHeight="1">
      <c r="A39"/>
      <c r="B39"/>
      <c r="C39"/>
      <c r="D39"/>
      <c r="E39"/>
      <c r="F39"/>
      <c r="G39"/>
      <c r="H39"/>
      <c r="I39"/>
    </row>
    <row r="40" spans="1:9" s="41" customFormat="1" ht="15" customHeight="1">
      <c r="A40"/>
      <c r="B40"/>
      <c r="C40"/>
      <c r="D40"/>
      <c r="E40"/>
      <c r="F40"/>
      <c r="G40"/>
      <c r="H40"/>
      <c r="I40"/>
    </row>
    <row r="41" spans="1:9" s="41" customFormat="1" ht="18" customHeight="1">
      <c r="A41"/>
      <c r="B41"/>
      <c r="C41"/>
      <c r="D41"/>
      <c r="E41"/>
      <c r="F41"/>
      <c r="G41"/>
      <c r="H41"/>
      <c r="I41"/>
    </row>
    <row r="42" spans="1:9" s="41" customFormat="1" ht="15" customHeight="1">
      <c r="A42"/>
      <c r="B42"/>
      <c r="C42"/>
      <c r="D42"/>
      <c r="E42"/>
      <c r="F42"/>
      <c r="G42"/>
      <c r="H42"/>
      <c r="I42"/>
    </row>
    <row r="43" spans="1:9" s="41" customFormat="1" ht="15" customHeight="1">
      <c r="A43"/>
      <c r="B43"/>
      <c r="C43"/>
      <c r="D43"/>
      <c r="E43"/>
      <c r="F43"/>
      <c r="G43"/>
      <c r="H43"/>
      <c r="I43"/>
    </row>
    <row r="44" spans="1:9" s="41" customFormat="1" ht="15" customHeight="1">
      <c r="A44"/>
      <c r="B44"/>
      <c r="C44"/>
      <c r="D44"/>
      <c r="E44"/>
      <c r="F44"/>
      <c r="G44"/>
      <c r="H44"/>
      <c r="I44"/>
    </row>
    <row r="45" spans="1:9" s="41" customFormat="1" ht="15" customHeight="1">
      <c r="A45"/>
      <c r="B45"/>
      <c r="C45"/>
      <c r="D45"/>
      <c r="E45"/>
      <c r="F45"/>
      <c r="G45"/>
      <c r="H45"/>
      <c r="I45"/>
    </row>
    <row r="46" spans="1:9" s="41" customFormat="1" ht="15" customHeight="1">
      <c r="A46"/>
      <c r="B46"/>
      <c r="C46"/>
      <c r="D46"/>
      <c r="E46"/>
      <c r="F46"/>
      <c r="G46"/>
      <c r="H46"/>
      <c r="I46"/>
    </row>
    <row r="47" spans="1:9" s="41" customFormat="1" ht="15" customHeight="1">
      <c r="A47"/>
      <c r="B47"/>
      <c r="C47"/>
      <c r="D47"/>
      <c r="E47"/>
      <c r="F47"/>
      <c r="G47"/>
      <c r="H47"/>
      <c r="I47"/>
    </row>
    <row r="48" spans="1:9" s="41" customFormat="1" ht="15" customHeight="1">
      <c r="A48"/>
      <c r="B48"/>
      <c r="C48"/>
      <c r="D48"/>
      <c r="E48"/>
      <c r="F48"/>
      <c r="G48"/>
      <c r="H48"/>
      <c r="I48"/>
    </row>
    <row r="49" spans="1:9" s="41" customFormat="1" ht="15" customHeight="1">
      <c r="A49"/>
      <c r="B49"/>
      <c r="C49"/>
      <c r="D49"/>
      <c r="E49"/>
      <c r="F49"/>
      <c r="G49"/>
      <c r="H49"/>
      <c r="I49"/>
    </row>
    <row r="50" spans="1:9" s="41" customFormat="1" ht="15" customHeight="1">
      <c r="A50"/>
      <c r="B50"/>
      <c r="C50"/>
      <c r="D50"/>
      <c r="E50"/>
      <c r="F50"/>
      <c r="G50"/>
      <c r="H50"/>
      <c r="I50"/>
    </row>
    <row r="51" spans="1:9" s="41" customFormat="1" ht="33" customHeight="1">
      <c r="A51"/>
      <c r="B51"/>
      <c r="C51"/>
      <c r="D51"/>
      <c r="E51"/>
      <c r="F51"/>
      <c r="G51"/>
      <c r="H51"/>
      <c r="I51"/>
    </row>
    <row r="52" spans="1:9" s="41" customFormat="1" ht="15" customHeight="1">
      <c r="A52"/>
      <c r="B52"/>
      <c r="C52"/>
      <c r="D52"/>
      <c r="E52"/>
      <c r="F52"/>
      <c r="G52"/>
      <c r="H52"/>
      <c r="I52"/>
    </row>
    <row r="53" spans="1:9" s="41" customFormat="1" ht="15" customHeight="1">
      <c r="A53"/>
      <c r="B53"/>
      <c r="C53"/>
      <c r="D53"/>
      <c r="E53"/>
      <c r="F53"/>
      <c r="G53"/>
      <c r="H53"/>
      <c r="I53"/>
    </row>
    <row r="54" spans="1:9" s="41" customFormat="1">
      <c r="A54"/>
      <c r="B54"/>
      <c r="C54"/>
      <c r="D54"/>
      <c r="E54"/>
      <c r="F54"/>
      <c r="G54"/>
      <c r="H54"/>
      <c r="I54"/>
    </row>
    <row r="55" spans="1:9" s="41" customFormat="1">
      <c r="A55"/>
      <c r="B55"/>
      <c r="C55"/>
      <c r="D55"/>
      <c r="E55"/>
      <c r="F55"/>
      <c r="G55"/>
      <c r="H55"/>
      <c r="I55"/>
    </row>
    <row r="56" spans="1:9" s="41" customFormat="1">
      <c r="A56"/>
      <c r="B56"/>
      <c r="C56"/>
      <c r="D56"/>
      <c r="E56"/>
      <c r="F56"/>
      <c r="G56"/>
      <c r="H56"/>
      <c r="I56"/>
    </row>
    <row r="57" spans="1:9" s="41" customFormat="1">
      <c r="A57"/>
      <c r="B57"/>
      <c r="C57"/>
      <c r="D57"/>
      <c r="E57"/>
      <c r="F57"/>
      <c r="G57"/>
      <c r="H57"/>
      <c r="I57"/>
    </row>
    <row r="58" spans="1:9" s="41" customFormat="1">
      <c r="A58"/>
      <c r="B58"/>
      <c r="C58"/>
      <c r="D58"/>
      <c r="E58"/>
      <c r="F58"/>
      <c r="G58"/>
      <c r="H58"/>
      <c r="I58"/>
    </row>
  </sheetData>
  <mergeCells count="7">
    <mergeCell ref="H12:I12"/>
    <mergeCell ref="A1:A2"/>
    <mergeCell ref="B1:B2"/>
    <mergeCell ref="C1:C2"/>
    <mergeCell ref="D1:D2"/>
    <mergeCell ref="E1:E2"/>
    <mergeCell ref="F1:I1"/>
  </mergeCells>
  <pageMargins left="0.511811024" right="0.511811024" top="0.78740157499999996" bottom="0.78740157499999996" header="0.31496062000000002" footer="0.31496062000000002"/>
  <pageSetup paperSize="9" scale="65" orientation="landscape" r:id="rId1"/>
  <headerFooter>
    <oddHeader>&amp;C&amp;"-,Negrito"&amp;14PE Itutinga-Pilões - &amp;A
&amp;RCPOS 175 - Mar/2019</oddHeader>
    <oddFooter>&amp;L&amp;"Verdana,Negrito"&amp;8Fundação Florestal&amp;"Verdana,Normal" | Av. Prof. Frederico Hermann Jr 345 | CEP 05459-010
São Paulo, SP | Fone (11) 2997-5000 | www.fflorestal.sp.gov.br&amp;R&amp;G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zoomScaleNormal="100" workbookViewId="0">
      <selection activeCell="B42" sqref="B42"/>
    </sheetView>
  </sheetViews>
  <sheetFormatPr defaultRowHeight="15"/>
  <cols>
    <col min="1" max="1" width="6.140625" style="124" customWidth="1"/>
    <col min="2" max="2" width="62.7109375" style="29" customWidth="1"/>
    <col min="3" max="3" width="12.140625" style="29" customWidth="1"/>
    <col min="4" max="16384" width="9.140625" style="29"/>
  </cols>
  <sheetData>
    <row r="1" spans="1:5" ht="18.75">
      <c r="A1" s="216" t="s">
        <v>242</v>
      </c>
      <c r="B1" s="216"/>
      <c r="C1" s="216"/>
    </row>
    <row r="2" spans="1:5" ht="30" customHeight="1">
      <c r="A2" s="212" t="s">
        <v>243</v>
      </c>
      <c r="B2" s="212"/>
      <c r="C2" s="212"/>
    </row>
    <row r="3" spans="1:5" ht="5.0999999999999996" customHeight="1">
      <c r="A3" s="110"/>
      <c r="B3" s="110"/>
      <c r="C3" s="110"/>
    </row>
    <row r="4" spans="1:5" ht="15" customHeight="1">
      <c r="A4" s="217" t="s">
        <v>244</v>
      </c>
      <c r="B4" s="217"/>
      <c r="C4" s="111">
        <v>2</v>
      </c>
    </row>
    <row r="5" spans="1:5" ht="15" customHeight="1">
      <c r="A5" s="110"/>
      <c r="B5" s="110"/>
      <c r="C5" s="110"/>
      <c r="D5" s="218"/>
      <c r="E5" s="218"/>
    </row>
    <row r="6" spans="1:5" ht="15" customHeight="1">
      <c r="A6" s="112" t="s">
        <v>0</v>
      </c>
      <c r="B6" s="112" t="s">
        <v>245</v>
      </c>
      <c r="C6" s="112" t="s">
        <v>8</v>
      </c>
    </row>
    <row r="7" spans="1:5">
      <c r="A7" s="113">
        <v>1</v>
      </c>
      <c r="B7" s="114" t="s">
        <v>246</v>
      </c>
      <c r="C7" s="115"/>
    </row>
    <row r="8" spans="1:5">
      <c r="A8" s="116" t="s">
        <v>29</v>
      </c>
      <c r="B8" s="117" t="s">
        <v>247</v>
      </c>
      <c r="C8" s="118">
        <f>IF(C$4=1,6.16/100,IF(C$4=2,7.4/100,IF(C$4=3,8.96/100,"")))</f>
        <v>7.400000000000001E-2</v>
      </c>
    </row>
    <row r="9" spans="1:5">
      <c r="A9" s="113">
        <v>2</v>
      </c>
      <c r="B9" s="114" t="s">
        <v>248</v>
      </c>
      <c r="C9" s="115"/>
    </row>
    <row r="10" spans="1:5">
      <c r="A10" s="116" t="s">
        <v>26</v>
      </c>
      <c r="B10" s="117" t="s">
        <v>249</v>
      </c>
      <c r="C10" s="118">
        <f>IF(C$4=1,3/100,IF(C$4=2,4/100,IF(C$4=3,5.5/100,"")))</f>
        <v>0.04</v>
      </c>
    </row>
    <row r="11" spans="1:5">
      <c r="A11" s="113">
        <v>3</v>
      </c>
      <c r="B11" s="114" t="s">
        <v>250</v>
      </c>
      <c r="C11" s="115"/>
    </row>
    <row r="12" spans="1:5">
      <c r="A12" s="116" t="s">
        <v>35</v>
      </c>
      <c r="B12" s="117" t="s">
        <v>251</v>
      </c>
      <c r="C12" s="118">
        <f>IF(C$4=1,0.59/100,IF(C$4=2,1.23/100,IF(C$4=3,1.39/100,"")))</f>
        <v>1.23E-2</v>
      </c>
    </row>
    <row r="13" spans="1:5">
      <c r="A13" s="113">
        <v>4</v>
      </c>
      <c r="B13" s="114" t="s">
        <v>252</v>
      </c>
      <c r="C13" s="115"/>
    </row>
    <row r="14" spans="1:5">
      <c r="A14" s="116" t="s">
        <v>42</v>
      </c>
      <c r="B14" s="117" t="s">
        <v>253</v>
      </c>
      <c r="C14" s="118">
        <f>IF(C$4=1,0.8/100,IF(C$4=2,0.8/100,IF(C$4=3,1/100,"")))</f>
        <v>8.0000000000000002E-3</v>
      </c>
    </row>
    <row r="15" spans="1:5">
      <c r="A15" s="116" t="s">
        <v>43</v>
      </c>
      <c r="B15" s="117" t="s">
        <v>254</v>
      </c>
      <c r="C15" s="118">
        <f>IF(C$4=1,0.97/100,IF(C$4=2,1.27/100,IF(C$4=3,1.27/100,"")))</f>
        <v>1.2699999999999999E-2</v>
      </c>
    </row>
    <row r="16" spans="1:5">
      <c r="A16" s="113">
        <v>5</v>
      </c>
      <c r="B16" s="114" t="s">
        <v>255</v>
      </c>
      <c r="C16" s="115"/>
    </row>
    <row r="17" spans="1:5">
      <c r="A17" s="116" t="s">
        <v>256</v>
      </c>
      <c r="B17" s="117" t="s">
        <v>257</v>
      </c>
      <c r="C17" s="119">
        <v>0.05</v>
      </c>
      <c r="E17" s="29" t="s">
        <v>258</v>
      </c>
    </row>
    <row r="18" spans="1:5">
      <c r="A18" s="116" t="s">
        <v>259</v>
      </c>
      <c r="B18" s="117" t="s">
        <v>260</v>
      </c>
      <c r="C18" s="118">
        <v>6.4999999999999997E-3</v>
      </c>
    </row>
    <row r="19" spans="1:5">
      <c r="A19" s="116" t="s">
        <v>261</v>
      </c>
      <c r="B19" s="117" t="s">
        <v>262</v>
      </c>
      <c r="C19" s="118">
        <v>0.03</v>
      </c>
    </row>
    <row r="20" spans="1:5">
      <c r="A20" s="116" t="s">
        <v>263</v>
      </c>
      <c r="B20" s="117" t="s">
        <v>264</v>
      </c>
      <c r="C20" s="117"/>
    </row>
    <row r="23" spans="1:5">
      <c r="A23" s="213" t="s">
        <v>265</v>
      </c>
      <c r="B23" s="213"/>
      <c r="C23" s="213"/>
    </row>
    <row r="24" spans="1:5">
      <c r="A24" s="213" t="s">
        <v>266</v>
      </c>
      <c r="B24" s="213"/>
      <c r="C24" s="213"/>
    </row>
    <row r="26" spans="1:5" ht="18.75">
      <c r="A26" s="209" t="s">
        <v>267</v>
      </c>
      <c r="B26" s="210"/>
      <c r="C26" s="120">
        <f>ROUNDUP((((1+(C10+SUM(C14:C15)))*(1+C12)+(1*C8))/(1-SUM(C17:C20)))-1,4)</f>
        <v>0.25650000000000001</v>
      </c>
    </row>
    <row r="31" spans="1:5" ht="15.75">
      <c r="A31" s="211" t="s">
        <v>268</v>
      </c>
      <c r="B31" s="211"/>
      <c r="C31" s="211"/>
    </row>
    <row r="32" spans="1:5" ht="30" customHeight="1">
      <c r="A32" s="212" t="s">
        <v>269</v>
      </c>
      <c r="B32" s="212"/>
      <c r="C32" s="212"/>
    </row>
    <row r="33" spans="1:3">
      <c r="A33" s="121"/>
      <c r="B33" s="121"/>
    </row>
    <row r="34" spans="1:3">
      <c r="A34" s="213" t="s">
        <v>270</v>
      </c>
      <c r="B34" s="213"/>
      <c r="C34" s="122">
        <v>2</v>
      </c>
    </row>
    <row r="36" spans="1:3" ht="18.75">
      <c r="A36" s="214" t="s">
        <v>271</v>
      </c>
      <c r="B36" s="215"/>
      <c r="C36" s="123">
        <f>IF(C34&lt;&gt;"",IF(C34=1,3.49,(IF(C34=2,6.23,IF(C34=3,8.87,""))))/100,"")</f>
        <v>6.2300000000000001E-2</v>
      </c>
    </row>
  </sheetData>
  <mergeCells count="11">
    <mergeCell ref="A24:C24"/>
    <mergeCell ref="A1:C1"/>
    <mergeCell ref="A2:C2"/>
    <mergeCell ref="A4:B4"/>
    <mergeCell ref="D5:E5"/>
    <mergeCell ref="A23:C23"/>
    <mergeCell ref="A26:B26"/>
    <mergeCell ref="A31:C31"/>
    <mergeCell ref="A32:C32"/>
    <mergeCell ref="A34:B34"/>
    <mergeCell ref="A36:B36"/>
  </mergeCells>
  <dataValidations disablePrompts="1" count="1">
    <dataValidation type="list" allowBlank="1" showInputMessage="1" showErrorMessage="1" sqref="C4 C34">
      <formula1>"1,2,3"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&amp;L&amp;"Verdana,Negrito"&amp;8Fundação Florestal&amp;"Verdana,Normal" | Av. Prof. Frederico Hermann Jr 345 | CEP 05459-010
São Paulo, SP | Fone (11) 2997-5000 | www.fflorestal.sp.gov.br&amp;R&amp;G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Cronograma</vt:lpstr>
      <vt:lpstr>Resumo</vt:lpstr>
      <vt:lpstr>Serv. Preliminares e Complement</vt:lpstr>
      <vt:lpstr>Guarita G3</vt:lpstr>
      <vt:lpstr>Guarita G1</vt:lpstr>
      <vt:lpstr>calculo BDI</vt:lpstr>
      <vt:lpstr>'calculo BDI'!Area_de_impressao</vt:lpstr>
      <vt:lpstr>Cronograma!Area_de_impressao</vt:lpstr>
      <vt:lpstr>'Guarita G1'!Area_de_impressao</vt:lpstr>
      <vt:lpstr>'Guarita G3'!Area_de_impressao</vt:lpstr>
      <vt:lpstr>Resumo!Area_de_impressao</vt:lpstr>
      <vt:lpstr>'Serv. Preliminares e Complement'!Area_de_impressao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Eliana Aparecida Silva</cp:lastModifiedBy>
  <cp:lastPrinted>2019-04-25T19:55:33Z</cp:lastPrinted>
  <dcterms:created xsi:type="dcterms:W3CDTF">2019-01-03T17:36:26Z</dcterms:created>
  <dcterms:modified xsi:type="dcterms:W3CDTF">2019-07-04T12:40:26Z</dcterms:modified>
</cp:coreProperties>
</file>