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9\TOMADA DE PREÇOS\FF\760-18 - INSTALAÇÃO DE EQUIPAMENTOS PE AGUAPEÍ\PE  Aguapei Quiosques\"/>
    </mc:Choice>
  </mc:AlternateContent>
  <bookViews>
    <workbookView xWindow="60" yWindow="120" windowWidth="12765" windowHeight="12735" activeTab="4"/>
  </bookViews>
  <sheets>
    <sheet name="Cronograma" sheetId="13" r:id="rId1"/>
    <sheet name="Resumo" sheetId="6" r:id="rId2"/>
    <sheet name="Serv. Iniciais e Complementares" sheetId="10" r:id="rId3"/>
    <sheet name="Quiosque" sheetId="1" r:id="rId4"/>
    <sheet name="Playground" sheetId="11" r:id="rId5"/>
  </sheets>
  <definedNames>
    <definedName name="_xlnm.Print_Area" localSheetId="1">Resumo!$B$1:$D$13</definedName>
    <definedName name="_xlnm.Print_Titles" localSheetId="4">Playground!$1:$1</definedName>
    <definedName name="_xlnm.Print_Titles" localSheetId="3">Quiosque!$5:$5</definedName>
    <definedName name="_xlnm.Print_Titles" localSheetId="2">'Serv. Iniciais e Complementares'!$5:$5</definedName>
  </definedNames>
  <calcPr calcId="152511"/>
</workbook>
</file>

<file path=xl/calcChain.xml><?xml version="1.0" encoding="utf-8"?>
<calcChain xmlns="http://schemas.openxmlformats.org/spreadsheetml/2006/main">
  <c r="B25" i="13" l="1"/>
  <c r="B23" i="13"/>
  <c r="B21" i="13"/>
  <c r="B19" i="13"/>
  <c r="B17" i="13"/>
  <c r="B15" i="13"/>
  <c r="B13" i="13"/>
  <c r="B37" i="13"/>
  <c r="B35" i="13"/>
  <c r="B33" i="13"/>
  <c r="B31" i="13"/>
  <c r="B29" i="13"/>
  <c r="O40" i="13"/>
  <c r="O41" i="13" s="1"/>
  <c r="O42" i="13" s="1"/>
  <c r="S40" i="13"/>
  <c r="S41" i="13" s="1"/>
  <c r="S42" i="13" s="1"/>
  <c r="S43" i="13" s="1"/>
  <c r="W40" i="13"/>
  <c r="W41" i="13" s="1"/>
  <c r="W42" i="13" s="1"/>
  <c r="W43" i="13" s="1"/>
  <c r="AA40" i="13"/>
  <c r="AA41" i="13" s="1"/>
  <c r="AA42" i="13" s="1"/>
  <c r="B9" i="13"/>
  <c r="B7" i="13"/>
  <c r="B5" i="13"/>
  <c r="B27" i="13"/>
  <c r="B11" i="13"/>
  <c r="B3" i="13"/>
  <c r="AA43" i="13" l="1"/>
  <c r="O43" i="13"/>
  <c r="S46" i="13"/>
  <c r="O46" i="13" l="1"/>
  <c r="AA46" i="13" l="1"/>
  <c r="W46" i="13"/>
  <c r="H49" i="1" l="1"/>
  <c r="H50" i="1"/>
  <c r="I50" i="1" s="1"/>
  <c r="H51" i="1"/>
  <c r="I51" i="1" s="1"/>
  <c r="E51" i="1"/>
  <c r="E47" i="1"/>
  <c r="E48" i="1" s="1"/>
  <c r="E49" i="1" s="1"/>
  <c r="H48" i="1"/>
  <c r="H47" i="1"/>
  <c r="H55" i="1"/>
  <c r="I55" i="1" s="1"/>
  <c r="H56" i="1"/>
  <c r="I56" i="1" s="1"/>
  <c r="E54" i="1"/>
  <c r="G28" i="1"/>
  <c r="H28" i="1" s="1"/>
  <c r="I28" i="1" s="1"/>
  <c r="G27" i="1"/>
  <c r="H27" i="1" s="1"/>
  <c r="E38" i="1"/>
  <c r="H38" i="1"/>
  <c r="E22" i="1"/>
  <c r="H22" i="1"/>
  <c r="H23" i="1"/>
  <c r="E23" i="1"/>
  <c r="E25" i="1"/>
  <c r="H25" i="1"/>
  <c r="H26" i="1"/>
  <c r="H54" i="1"/>
  <c r="H21" i="1"/>
  <c r="I21" i="1" s="1"/>
  <c r="H20" i="1"/>
  <c r="E26" i="1"/>
  <c r="H24" i="1"/>
  <c r="E45" i="1"/>
  <c r="E34" i="1"/>
  <c r="H46" i="1"/>
  <c r="I46" i="1" s="1"/>
  <c r="H45" i="1"/>
  <c r="E41" i="1"/>
  <c r="H42" i="1"/>
  <c r="E39" i="1"/>
  <c r="E40" i="1"/>
  <c r="E33" i="1"/>
  <c r="E31" i="1"/>
  <c r="E32" i="1" s="1"/>
  <c r="E35" i="1" s="1"/>
  <c r="H32" i="1"/>
  <c r="H33" i="1"/>
  <c r="H34" i="1"/>
  <c r="H35" i="1"/>
  <c r="E13" i="1"/>
  <c r="E14" i="1" s="1"/>
  <c r="H12" i="1"/>
  <c r="H13" i="1"/>
  <c r="H14" i="1"/>
  <c r="H15" i="1"/>
  <c r="H16" i="1"/>
  <c r="H17" i="1"/>
  <c r="E16" i="1"/>
  <c r="E15" i="1" s="1"/>
  <c r="E12" i="1"/>
  <c r="E12" i="10"/>
  <c r="E7" i="1"/>
  <c r="E8" i="1" s="1"/>
  <c r="H8" i="1"/>
  <c r="H7" i="1"/>
  <c r="E10" i="1"/>
  <c r="H11" i="1"/>
  <c r="H13" i="10"/>
  <c r="I13" i="10" s="1"/>
  <c r="H16" i="10"/>
  <c r="I16" i="10" s="1"/>
  <c r="H17" i="10"/>
  <c r="I17" i="10" s="1"/>
  <c r="H4" i="11"/>
  <c r="I4" i="11" s="1"/>
  <c r="AE31" i="13" s="1"/>
  <c r="H5" i="11"/>
  <c r="I5" i="11" s="1"/>
  <c r="AE33" i="13" s="1"/>
  <c r="H6" i="11"/>
  <c r="I6" i="11" s="1"/>
  <c r="AE35" i="13" s="1"/>
  <c r="H7" i="11"/>
  <c r="I7" i="11" s="1"/>
  <c r="AE37" i="13" s="1"/>
  <c r="H10" i="10"/>
  <c r="I10" i="10" s="1"/>
  <c r="H12" i="10"/>
  <c r="I12" i="10" s="1"/>
  <c r="H9" i="10"/>
  <c r="I9" i="10" s="1"/>
  <c r="I49" i="1" l="1"/>
  <c r="I23" i="1"/>
  <c r="C32" i="13"/>
  <c r="K38" i="13"/>
  <c r="C36" i="13"/>
  <c r="C34" i="13"/>
  <c r="I48" i="1"/>
  <c r="I47" i="1"/>
  <c r="I54" i="1"/>
  <c r="I53" i="1" s="1"/>
  <c r="AE25" i="13" s="1"/>
  <c r="I38" i="1"/>
  <c r="I12" i="1"/>
  <c r="I22" i="1"/>
  <c r="I26" i="1"/>
  <c r="I25" i="1"/>
  <c r="I20" i="1"/>
  <c r="I24" i="1"/>
  <c r="I27" i="1"/>
  <c r="I13" i="1"/>
  <c r="I14" i="1"/>
  <c r="I45" i="1"/>
  <c r="I34" i="1"/>
  <c r="I16" i="1"/>
  <c r="I15" i="1"/>
  <c r="I33" i="1"/>
  <c r="I35" i="1"/>
  <c r="I32" i="1"/>
  <c r="E11" i="1"/>
  <c r="I11" i="1" s="1"/>
  <c r="I7" i="1"/>
  <c r="I8" i="1"/>
  <c r="E17" i="1"/>
  <c r="I17" i="1" s="1"/>
  <c r="I11" i="10"/>
  <c r="AE7" i="13" s="1"/>
  <c r="H3" i="11"/>
  <c r="I3" i="11" s="1"/>
  <c r="AE29" i="13" s="1"/>
  <c r="H15" i="10"/>
  <c r="E15" i="10"/>
  <c r="H8" i="10"/>
  <c r="I8" i="10" s="1"/>
  <c r="H7" i="10"/>
  <c r="I7" i="10" s="1"/>
  <c r="K26" i="13" l="1"/>
  <c r="C30" i="13"/>
  <c r="K8" i="13"/>
  <c r="I44" i="1"/>
  <c r="AE23" i="13" s="1"/>
  <c r="I19" i="1"/>
  <c r="AE17" i="13" s="1"/>
  <c r="I6" i="1"/>
  <c r="AE13" i="13" s="1"/>
  <c r="I15" i="10"/>
  <c r="I14" i="10" s="1"/>
  <c r="AE9" i="13" s="1"/>
  <c r="I6" i="10"/>
  <c r="I2" i="11"/>
  <c r="H10" i="11" s="1"/>
  <c r="C9" i="6" s="1"/>
  <c r="AE27" i="13" s="1"/>
  <c r="O28" i="13" l="1"/>
  <c r="G28" i="13"/>
  <c r="W28" i="13"/>
  <c r="C28" i="13"/>
  <c r="S28" i="13"/>
  <c r="K28" i="13"/>
  <c r="AA28" i="13"/>
  <c r="K24" i="13"/>
  <c r="AE5" i="13"/>
  <c r="C6" i="13" s="1"/>
  <c r="C40" i="13" s="1"/>
  <c r="H19" i="10"/>
  <c r="G18" i="13"/>
  <c r="G14" i="13"/>
  <c r="K10" i="13"/>
  <c r="H11" i="11"/>
  <c r="H12" i="11" s="1"/>
  <c r="C41" i="13" l="1"/>
  <c r="C42" i="13" s="1"/>
  <c r="H20" i="10"/>
  <c r="H21" i="10" s="1"/>
  <c r="C7" i="6"/>
  <c r="D7" i="6" s="1"/>
  <c r="AE3" i="13" s="1"/>
  <c r="H13" i="11"/>
  <c r="H10" i="1"/>
  <c r="I10" i="1" s="1"/>
  <c r="H31" i="1"/>
  <c r="I31" i="1" s="1"/>
  <c r="I30" i="1" s="1"/>
  <c r="AE19" i="13" s="1"/>
  <c r="H39" i="1"/>
  <c r="H40" i="1"/>
  <c r="H41" i="1"/>
  <c r="C43" i="13" l="1"/>
  <c r="C46" i="13" s="1"/>
  <c r="G20" i="13"/>
  <c r="G4" i="13"/>
  <c r="K4" i="13"/>
  <c r="O4" i="13"/>
  <c r="C4" i="13"/>
  <c r="S4" i="13"/>
  <c r="W4" i="13"/>
  <c r="AA4" i="13"/>
  <c r="AF7" i="13"/>
  <c r="AF5" i="13"/>
  <c r="AF9" i="13"/>
  <c r="H22" i="10"/>
  <c r="I41" i="1" l="1"/>
  <c r="I40" i="1"/>
  <c r="E42" i="1" l="1"/>
  <c r="I42" i="1" s="1"/>
  <c r="I39" i="1"/>
  <c r="I37" i="1" s="1"/>
  <c r="AE21" i="13" s="1"/>
  <c r="D9" i="6"/>
  <c r="K22" i="13" l="1"/>
  <c r="K40" i="13" s="1"/>
  <c r="I9" i="1"/>
  <c r="AE15" i="13" s="1"/>
  <c r="G16" i="13" l="1"/>
  <c r="G40" i="13" s="1"/>
  <c r="G41" i="13" s="1"/>
  <c r="G42" i="13" s="1"/>
  <c r="G43" i="13" s="1"/>
  <c r="G46" i="13" s="1"/>
  <c r="K41" i="13"/>
  <c r="K42" i="13" s="1"/>
  <c r="H58" i="1"/>
  <c r="K43" i="13" l="1"/>
  <c r="K46" i="13" s="1"/>
  <c r="C8" i="6"/>
  <c r="D8" i="6" l="1"/>
  <c r="AE11" i="13" s="1"/>
  <c r="H59" i="1"/>
  <c r="C12" i="13" l="1"/>
  <c r="AF31" i="13"/>
  <c r="AF25" i="13"/>
  <c r="K12" i="13"/>
  <c r="AF19" i="13"/>
  <c r="O12" i="13"/>
  <c r="AF35" i="13"/>
  <c r="AF23" i="13"/>
  <c r="S12" i="13"/>
  <c r="AE40" i="13"/>
  <c r="AF11" i="13" s="1"/>
  <c r="G12" i="13"/>
  <c r="AF33" i="13"/>
  <c r="AF17" i="13"/>
  <c r="AA12" i="13"/>
  <c r="AF21" i="13"/>
  <c r="AF37" i="13"/>
  <c r="AF29" i="13"/>
  <c r="AF13" i="13"/>
  <c r="W12" i="13"/>
  <c r="AF15" i="13"/>
  <c r="AE41" i="13"/>
  <c r="AE42" i="13" s="1"/>
  <c r="D10" i="6"/>
  <c r="D11" i="6" s="1"/>
  <c r="D12" i="6" s="1"/>
  <c r="D13" i="6" s="1"/>
  <c r="C10" i="6"/>
  <c r="H60" i="1"/>
  <c r="H61" i="1" s="1"/>
  <c r="AF27" i="13" l="1"/>
  <c r="AF3" i="13"/>
  <c r="AE43" i="13"/>
  <c r="AE46" i="13" s="1"/>
  <c r="C11" i="6"/>
  <c r="C12" i="6" s="1"/>
  <c r="C13" i="6" s="1"/>
</calcChain>
</file>

<file path=xl/sharedStrings.xml><?xml version="1.0" encoding="utf-8"?>
<sst xmlns="http://schemas.openxmlformats.org/spreadsheetml/2006/main" count="291" uniqueCount="174">
  <si>
    <t>Ítem</t>
  </si>
  <si>
    <t>Código CPOS</t>
  </si>
  <si>
    <t>Descrição</t>
  </si>
  <si>
    <t>Un</t>
  </si>
  <si>
    <t>Qt</t>
  </si>
  <si>
    <t>P.U.Mat</t>
  </si>
  <si>
    <t>P.U.MO</t>
  </si>
  <si>
    <t>P.Serv</t>
  </si>
  <si>
    <t>Total</t>
  </si>
  <si>
    <t>m²</t>
  </si>
  <si>
    <t>Placa de identificação para obra</t>
  </si>
  <si>
    <t>m³</t>
  </si>
  <si>
    <t>m</t>
  </si>
  <si>
    <t>Total + BDI</t>
  </si>
  <si>
    <t>Custo Total por Serviços</t>
  </si>
  <si>
    <t>Valor R$</t>
  </si>
  <si>
    <t>Percentual</t>
  </si>
  <si>
    <t>BDI (30%)</t>
  </si>
  <si>
    <t>33.05.010</t>
  </si>
  <si>
    <t>Verniz fungicida para madeira</t>
  </si>
  <si>
    <t xml:space="preserve">Serviços preliminares </t>
  </si>
  <si>
    <t>02.08.020</t>
  </si>
  <si>
    <t>33.10.030</t>
  </si>
  <si>
    <t>Tinta acrílica antimofo em massa, inclusive preparo</t>
  </si>
  <si>
    <t>55.01.020</t>
  </si>
  <si>
    <t>Limpeza final da obra</t>
  </si>
  <si>
    <t>un</t>
  </si>
  <si>
    <t>1.1</t>
  </si>
  <si>
    <t>1.3</t>
  </si>
  <si>
    <t>2.1</t>
  </si>
  <si>
    <t>2.2</t>
  </si>
  <si>
    <t>2.3</t>
  </si>
  <si>
    <t>2.4</t>
  </si>
  <si>
    <t>2.5</t>
  </si>
  <si>
    <t>2.6</t>
  </si>
  <si>
    <t>3.1</t>
  </si>
  <si>
    <t>3.2</t>
  </si>
  <si>
    <t>3.3</t>
  </si>
  <si>
    <t>3.4</t>
  </si>
  <si>
    <t>3.5</t>
  </si>
  <si>
    <t>4.1</t>
  </si>
  <si>
    <t>4.2</t>
  </si>
  <si>
    <t>4.3</t>
  </si>
  <si>
    <t>4.4</t>
  </si>
  <si>
    <t>4.5</t>
  </si>
  <si>
    <t>Obra</t>
  </si>
  <si>
    <t>5.2</t>
  </si>
  <si>
    <t>5.3</t>
  </si>
  <si>
    <t>5.4</t>
  </si>
  <si>
    <t>B.01.000.010111</t>
  </si>
  <si>
    <t>Carpinteiro</t>
  </si>
  <si>
    <t>h</t>
  </si>
  <si>
    <t>Piso</t>
  </si>
  <si>
    <t>17.05.070</t>
  </si>
  <si>
    <t>Piso com requadro em concreto simples com controle - fck = 20 MPa</t>
  </si>
  <si>
    <t>3.6</t>
  </si>
  <si>
    <t>s/código</t>
  </si>
  <si>
    <t>kg</t>
  </si>
  <si>
    <t>Pilares em Eucalipto Citriodora roliço tratado em Autoclave com CCA, Ø = 20 cm , peças com 3,00m</t>
  </si>
  <si>
    <t xml:space="preserve">Estrutura </t>
  </si>
  <si>
    <t>Cobertura</t>
  </si>
  <si>
    <t>3.7</t>
  </si>
  <si>
    <t>Fundação</t>
  </si>
  <si>
    <t>06.02.020</t>
  </si>
  <si>
    <t>Escavação manual em solo de 1ª e 2ª categoria em vala ou cava até 1,50 m</t>
  </si>
  <si>
    <t>06.11.040</t>
  </si>
  <si>
    <t>Reaterro manual apiloado sem controle de compactação</t>
  </si>
  <si>
    <t>10.01.040</t>
  </si>
  <si>
    <t>Armadura em barra de aço CA-50 (A ou B) fyk = 500 MPa</t>
  </si>
  <si>
    <t>11.16.040</t>
  </si>
  <si>
    <t>Lançamento e adensamento de concreto ou massa em fundação</t>
  </si>
  <si>
    <t>54.01.010</t>
  </si>
  <si>
    <t>Regularização e compactação mecanizada de superfície, sem controle do proctor normal</t>
  </si>
  <si>
    <t>3.8</t>
  </si>
  <si>
    <t>3.9</t>
  </si>
  <si>
    <t>17.01.040</t>
  </si>
  <si>
    <t>Lastro de concreto impermeabilizado</t>
  </si>
  <si>
    <t>50m²x0,15cm</t>
  </si>
  <si>
    <t>7,50/2</t>
  </si>
  <si>
    <t>15.01.010</t>
  </si>
  <si>
    <t>Estrutura de madeira tesourada para telha de barro - vãos até 7,00 m</t>
  </si>
  <si>
    <t>6.1</t>
  </si>
  <si>
    <t>35.04.020</t>
  </si>
  <si>
    <t>Banco contínuo em concreto vazado</t>
  </si>
  <si>
    <t>Valor Unitário</t>
  </si>
  <si>
    <t>cj</t>
  </si>
  <si>
    <t xml:space="preserve">TOTAL   </t>
  </si>
  <si>
    <t>ADMINISTRAÇÃO LOCAL 10%</t>
  </si>
  <si>
    <t>Centro de atividades em eucalipto autoclavado (2,90m X 7,50m x 6,50m) com mão de obra inclusa.</t>
  </si>
  <si>
    <t>Gira-gira metálico tubular com acabamento em pintura eletrostática (2,90m x 5,50m x 3,50m) com mão de obra inclusa.</t>
  </si>
  <si>
    <t>Gangorra duas pranchas em eucalipto (0,50m 1,0m x 2,50m) com mão de obra inclusa</t>
  </si>
  <si>
    <t>Balanço duplo dois lugares (2,20m x 1,80m x 2,50m)</t>
  </si>
  <si>
    <t>Banco rúistico em madeira (1,0m 0,80m 1,50m)</t>
  </si>
  <si>
    <t>Playground</t>
  </si>
  <si>
    <t>Administração local 10%</t>
  </si>
  <si>
    <t>7.1</t>
  </si>
  <si>
    <t>7.2</t>
  </si>
  <si>
    <t>7.3</t>
  </si>
  <si>
    <t>7.4</t>
  </si>
  <si>
    <t>7.5</t>
  </si>
  <si>
    <t>16.02.045</t>
  </si>
  <si>
    <t>Telha de barro colonial/paulista</t>
  </si>
  <si>
    <t>02.02.150</t>
  </si>
  <si>
    <t>Locação de container tipo depósito - área mínima de 13,80 m²</t>
  </si>
  <si>
    <t>unxmês</t>
  </si>
  <si>
    <t>02.02.140</t>
  </si>
  <si>
    <t>Locação de container tipo sanitário com 2 vasos sanitários, 2 lavatórios, 2 mictórios e 4 pontos para chuveiro - área mínima de 13,80 m²</t>
  </si>
  <si>
    <t>02.10.020</t>
  </si>
  <si>
    <t>Locação de obra de edificação</t>
  </si>
  <si>
    <t>Entulho</t>
  </si>
  <si>
    <t>02.09.030</t>
  </si>
  <si>
    <t>Limpeza manual do terreno, inclusive troncos até 5 cm de diâmetro, com caminhão à disposição dentro da obra, até o raio de 1,0 km</t>
  </si>
  <si>
    <t>1.2</t>
  </si>
  <si>
    <t>05.07.050</t>
  </si>
  <si>
    <t>Remoção de entulho de obra com caçamba metálica - material volumoso e misturado por alvenaria, terra, madeira, papel, plástico e metal</t>
  </si>
  <si>
    <t>Serviços iniciais</t>
  </si>
  <si>
    <t>09.01.020</t>
  </si>
  <si>
    <t>Forma em madeira comum para fundação</t>
  </si>
  <si>
    <t>10.02.020</t>
  </si>
  <si>
    <t>Armadura em tela soldada de aço</t>
  </si>
  <si>
    <t>11.03.090</t>
  </si>
  <si>
    <t>Concreto preparado no local, fck = 20,0 MPa</t>
  </si>
  <si>
    <t>11.16.020</t>
  </si>
  <si>
    <t>Lançamento, espalhamento e adensamento de concreto ou massa em lastro e/ou enchimento</t>
  </si>
  <si>
    <t>11.04.040</t>
  </si>
  <si>
    <t>Concreto não estrutural executado no local, mínimo 200 kg cimento / m³</t>
  </si>
  <si>
    <t>2.7</t>
  </si>
  <si>
    <t>2.8</t>
  </si>
  <si>
    <t>Quiosques</t>
  </si>
  <si>
    <t>16.02.270</t>
  </si>
  <si>
    <t>Espigão de barro emboçado</t>
  </si>
  <si>
    <t>22.01.210</t>
  </si>
  <si>
    <t>Testeira em tábua aparelhada, largura até 20 cm</t>
  </si>
  <si>
    <t>08.02.020</t>
  </si>
  <si>
    <t>Cimbramento em madeira com estroncas de eucalipto</t>
  </si>
  <si>
    <t>B.01.000.010112</t>
  </si>
  <si>
    <t>Ajudante de carpinteiro</t>
  </si>
  <si>
    <t>Recomposição de áreas</t>
  </si>
  <si>
    <t>34.01.010</t>
  </si>
  <si>
    <t>Terra vegetal orgânica comum</t>
  </si>
  <si>
    <t>34.01.020</t>
  </si>
  <si>
    <t>Limpeza e regularização de áreas para ajardinamento (jardins e canteiros)</t>
  </si>
  <si>
    <t>34.02.080</t>
  </si>
  <si>
    <t>Plantio de grama São Carlos em placas (jardins e canteiros)</t>
  </si>
  <si>
    <t>09.02.040</t>
  </si>
  <si>
    <t>Forma plana em compensado para estrutura aparente</t>
  </si>
  <si>
    <t>33.01.050</t>
  </si>
  <si>
    <t>Estucamento e lixamento de concreto</t>
  </si>
  <si>
    <t>6.2</t>
  </si>
  <si>
    <t>6.3</t>
  </si>
  <si>
    <t>6.4</t>
  </si>
  <si>
    <t>6.5</t>
  </si>
  <si>
    <t>6.6</t>
  </si>
  <si>
    <t>6.7</t>
  </si>
  <si>
    <t>Mobiliario em concreto</t>
  </si>
  <si>
    <t>Item</t>
  </si>
  <si>
    <t>Edificação/Serviços</t>
  </si>
  <si>
    <t>Meses</t>
  </si>
  <si>
    <t>01</t>
  </si>
  <si>
    <t>02</t>
  </si>
  <si>
    <t>03</t>
  </si>
  <si>
    <t>04</t>
  </si>
  <si>
    <t>05</t>
  </si>
  <si>
    <t>06</t>
  </si>
  <si>
    <t>07</t>
  </si>
  <si>
    <t>Total Obra</t>
  </si>
  <si>
    <t xml:space="preserve">Adm. Local </t>
  </si>
  <si>
    <t>Total (Obra + Adm + BDI.)</t>
  </si>
  <si>
    <t>Gerenciamento</t>
  </si>
  <si>
    <t>Total (Obra + BDI + Adm. + Gerenciamento)</t>
  </si>
  <si>
    <t>BDI 30%</t>
  </si>
  <si>
    <t>Serviços Iniciais e Complementares</t>
  </si>
  <si>
    <t>Limpeza Final</t>
  </si>
  <si>
    <t>Valor 5 Unidades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</si>
</sst>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&quot;R$ &quot;#,##0_);\(&quot;R$ &quot;#,##0\)"/>
    <numFmt numFmtId="166" formatCode="0.0%"/>
    <numFmt numFmtId="169" formatCode="_ * #,##0.00_)\ _R_$_ ;_ * \(#,##0.00\)\ _R_$_ ;_ * &quot;-&quot;??_)\ _R_$_ ;_ @_ 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0"/>
      <name val="Arial"/>
      <family val="2"/>
    </font>
    <font>
      <b/>
      <sz val="11"/>
      <name val="Ecofont Vera Sans"/>
      <family val="2"/>
    </font>
    <font>
      <b/>
      <sz val="11"/>
      <color theme="1"/>
      <name val="Ecofont Vera Sans"/>
      <family val="2"/>
    </font>
    <font>
      <sz val="11"/>
      <color indexed="8"/>
      <name val="Ecofont Vera Sans"/>
      <family val="2"/>
    </font>
    <font>
      <sz val="11"/>
      <name val="Ecofont Vera Sans"/>
      <family val="2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sz val="11"/>
      <color theme="0"/>
      <name val="Calibri"/>
      <family val="2"/>
      <scheme val="minor"/>
    </font>
    <font>
      <b/>
      <sz val="9"/>
      <name val="Ecofont Vera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232">
    <xf numFmtId="0" fontId="0" fillId="0" borderId="0" xfId="0"/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right" vertical="center"/>
    </xf>
    <xf numFmtId="0" fontId="4" fillId="3" borderId="5" xfId="0" applyFont="1" applyFill="1" applyBorder="1" applyAlignment="1">
      <alignment horizontal="center" vertical="center"/>
    </xf>
    <xf numFmtId="0" fontId="0" fillId="0" borderId="0" xfId="0" applyFont="1"/>
    <xf numFmtId="43" fontId="0" fillId="0" borderId="0" xfId="0" applyNumberFormat="1" applyFont="1"/>
    <xf numFmtId="9" fontId="0" fillId="0" borderId="0" xfId="5" applyFont="1"/>
    <xf numFmtId="0" fontId="5" fillId="3" borderId="5" xfId="0" applyFont="1" applyFill="1" applyBorder="1" applyAlignment="1">
      <alignment horizontal="center" vertical="center"/>
    </xf>
    <xf numFmtId="0" fontId="0" fillId="0" borderId="0" xfId="0" applyBorder="1"/>
    <xf numFmtId="4" fontId="8" fillId="0" borderId="0" xfId="0" applyNumberFormat="1" applyFont="1" applyBorder="1" applyAlignment="1">
      <alignment horizontal="right"/>
    </xf>
    <xf numFmtId="4" fontId="8" fillId="0" borderId="0" xfId="0" applyNumberFormat="1" applyFont="1" applyAlignment="1">
      <alignment horizontal="right"/>
    </xf>
    <xf numFmtId="43" fontId="4" fillId="0" borderId="0" xfId="1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top"/>
    </xf>
    <xf numFmtId="0" fontId="6" fillId="5" borderId="1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43" fontId="6" fillId="0" borderId="1" xfId="6" applyNumberFormat="1" applyFont="1" applyBorder="1" applyAlignment="1">
      <alignment vertical="center"/>
    </xf>
    <xf numFmtId="2" fontId="6" fillId="0" borderId="1" xfId="7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horizontal="center" vertical="center"/>
    </xf>
    <xf numFmtId="166" fontId="4" fillId="0" borderId="0" xfId="5" applyNumberFormat="1" applyFont="1" applyFill="1" applyBorder="1" applyAlignment="1">
      <alignment vertical="center" wrapText="1"/>
    </xf>
    <xf numFmtId="43" fontId="4" fillId="0" borderId="0" xfId="1" applyFont="1" applyFill="1" applyBorder="1" applyAlignment="1">
      <alignment horizontal="center" vertical="center" wrapText="1"/>
    </xf>
    <xf numFmtId="166" fontId="4" fillId="0" borderId="0" xfId="5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43" fontId="4" fillId="0" borderId="0" xfId="1" applyFont="1" applyFill="1" applyBorder="1" applyAlignment="1">
      <alignment vertical="center"/>
    </xf>
    <xf numFmtId="9" fontId="4" fillId="0" borderId="0" xfId="0" applyNumberFormat="1" applyFont="1" applyFill="1" applyBorder="1" applyAlignment="1">
      <alignment vertical="center"/>
    </xf>
    <xf numFmtId="43" fontId="4" fillId="0" borderId="0" xfId="0" applyNumberFormat="1" applyFont="1" applyFill="1" applyBorder="1" applyAlignment="1">
      <alignment vertical="center" wrapText="1"/>
    </xf>
    <xf numFmtId="43" fontId="2" fillId="0" borderId="0" xfId="1" applyFont="1" applyBorder="1" applyAlignment="1"/>
    <xf numFmtId="43" fontId="4" fillId="3" borderId="5" xfId="1" applyFont="1" applyFill="1" applyBorder="1" applyAlignment="1"/>
    <xf numFmtId="43" fontId="2" fillId="0" borderId="0" xfId="1" applyFont="1" applyAlignment="1"/>
    <xf numFmtId="43" fontId="2" fillId="0" borderId="2" xfId="1" applyFont="1" applyBorder="1" applyAlignment="1">
      <alignment horizontal="right" wrapText="1"/>
    </xf>
    <xf numFmtId="0" fontId="13" fillId="0" borderId="0" xfId="0" applyFont="1" applyBorder="1"/>
    <xf numFmtId="0" fontId="11" fillId="0" borderId="0" xfId="0" applyFont="1" applyBorder="1" applyAlignment="1">
      <alignment vertical="center"/>
    </xf>
    <xf numFmtId="4" fontId="4" fillId="2" borderId="8" xfId="0" applyNumberFormat="1" applyFont="1" applyFill="1" applyBorder="1" applyAlignment="1">
      <alignment horizontal="right" vertical="center"/>
    </xf>
    <xf numFmtId="4" fontId="4" fillId="2" borderId="7" xfId="0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left" vertical="center" wrapText="1"/>
    </xf>
    <xf numFmtId="4" fontId="4" fillId="2" borderId="14" xfId="0" applyNumberFormat="1" applyFont="1" applyFill="1" applyBorder="1" applyAlignment="1">
      <alignment horizontal="right" vertical="center"/>
    </xf>
    <xf numFmtId="0" fontId="4" fillId="2" borderId="11" xfId="0" applyFont="1" applyFill="1" applyBorder="1" applyAlignment="1">
      <alignment horizontal="left" vertical="center"/>
    </xf>
    <xf numFmtId="4" fontId="4" fillId="2" borderId="12" xfId="0" applyNumberFormat="1" applyFont="1" applyFill="1" applyBorder="1" applyAlignment="1">
      <alignment horizontal="right" vertical="center"/>
    </xf>
    <xf numFmtId="0" fontId="4" fillId="2" borderId="16" xfId="0" applyFont="1" applyFill="1" applyBorder="1" applyAlignment="1">
      <alignment horizontal="left" vertical="center"/>
    </xf>
    <xf numFmtId="4" fontId="4" fillId="2" borderId="17" xfId="0" applyNumberFormat="1" applyFont="1" applyFill="1" applyBorder="1" applyAlignment="1">
      <alignment horizontal="right" vertical="center"/>
    </xf>
    <xf numFmtId="4" fontId="4" fillId="2" borderId="18" xfId="0" applyNumberFormat="1" applyFont="1" applyFill="1" applyBorder="1" applyAlignment="1">
      <alignment horizontal="right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/>
    </xf>
    <xf numFmtId="4" fontId="4" fillId="2" borderId="9" xfId="0" applyNumberFormat="1" applyFont="1" applyFill="1" applyBorder="1" applyAlignment="1">
      <alignment horizontal="right" vertical="center"/>
    </xf>
    <xf numFmtId="4" fontId="4" fillId="2" borderId="10" xfId="0" applyNumberFormat="1" applyFont="1" applyFill="1" applyBorder="1" applyAlignment="1">
      <alignment horizontal="right" vertical="center"/>
    </xf>
    <xf numFmtId="2" fontId="6" fillId="4" borderId="1" xfId="7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/>
    </xf>
    <xf numFmtId="0" fontId="5" fillId="3" borderId="11" xfId="0" applyFont="1" applyFill="1" applyBorder="1" applyAlignment="1">
      <alignment horizontal="center" vertical="center"/>
    </xf>
    <xf numFmtId="4" fontId="5" fillId="3" borderId="22" xfId="0" applyNumberFormat="1" applyFont="1" applyFill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4" fontId="2" fillId="0" borderId="22" xfId="0" applyNumberFormat="1" applyFont="1" applyBorder="1" applyAlignment="1">
      <alignment horizontal="right" vertical="center"/>
    </xf>
    <xf numFmtId="0" fontId="5" fillId="3" borderId="13" xfId="0" applyFont="1" applyFill="1" applyBorder="1" applyAlignment="1">
      <alignment horizontal="center" vertical="center"/>
    </xf>
    <xf numFmtId="4" fontId="5" fillId="3" borderId="23" xfId="0" applyNumberFormat="1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4" fontId="4" fillId="3" borderId="5" xfId="4" applyNumberFormat="1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43" fontId="2" fillId="0" borderId="0" xfId="1" applyFont="1" applyBorder="1" applyAlignment="1">
      <alignment horizontal="right" wrapText="1"/>
    </xf>
    <xf numFmtId="43" fontId="6" fillId="0" borderId="5" xfId="6" applyNumberFormat="1" applyFont="1" applyBorder="1" applyAlignment="1">
      <alignment vertical="center"/>
    </xf>
    <xf numFmtId="43" fontId="6" fillId="0" borderId="3" xfId="6" applyNumberFormat="1" applyFont="1" applyBorder="1" applyAlignment="1">
      <alignment vertical="center"/>
    </xf>
    <xf numFmtId="43" fontId="2" fillId="0" borderId="22" xfId="0" applyNumberFormat="1" applyFont="1" applyBorder="1" applyAlignment="1">
      <alignment horizontal="right" vertical="center"/>
    </xf>
    <xf numFmtId="0" fontId="2" fillId="0" borderId="0" xfId="0" applyFont="1"/>
    <xf numFmtId="43" fontId="4" fillId="0" borderId="30" xfId="1" applyFont="1" applyFill="1" applyBorder="1" applyAlignment="1">
      <alignment horizontal="left" vertical="center"/>
    </xf>
    <xf numFmtId="43" fontId="4" fillId="0" borderId="31" xfId="1" applyFont="1" applyFill="1" applyBorder="1" applyAlignment="1">
      <alignment horizontal="left" vertical="center"/>
    </xf>
    <xf numFmtId="43" fontId="4" fillId="0" borderId="32" xfId="1" applyFont="1" applyFill="1" applyBorder="1" applyAlignment="1">
      <alignment horizontal="left" vertical="center"/>
    </xf>
    <xf numFmtId="43" fontId="4" fillId="0" borderId="1" xfId="1" applyFont="1" applyFill="1" applyBorder="1" applyAlignment="1">
      <alignment horizontal="left" vertical="center"/>
    </xf>
    <xf numFmtId="43" fontId="4" fillId="0" borderId="35" xfId="1" applyFont="1" applyFill="1" applyBorder="1" applyAlignment="1">
      <alignment horizontal="left" vertical="center"/>
    </xf>
    <xf numFmtId="43" fontId="4" fillId="0" borderId="33" xfId="1" applyFont="1" applyFill="1" applyBorder="1" applyAlignment="1">
      <alignment horizontal="left" vertical="center"/>
    </xf>
    <xf numFmtId="43" fontId="4" fillId="6" borderId="33" xfId="1" applyFont="1" applyFill="1" applyBorder="1" applyAlignment="1">
      <alignment horizontal="left" vertical="center"/>
    </xf>
    <xf numFmtId="43" fontId="4" fillId="6" borderId="35" xfId="1" applyFont="1" applyFill="1" applyBorder="1" applyAlignment="1">
      <alignment horizontal="left" vertical="center"/>
    </xf>
    <xf numFmtId="43" fontId="7" fillId="2" borderId="33" xfId="1" applyNumberFormat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43" fontId="2" fillId="0" borderId="0" xfId="0" applyNumberFormat="1" applyFont="1"/>
    <xf numFmtId="166" fontId="2" fillId="0" borderId="0" xfId="0" applyNumberFormat="1" applyFont="1" applyAlignment="1">
      <alignment horizontal="center" vertical="center"/>
    </xf>
    <xf numFmtId="43" fontId="0" fillId="0" borderId="0" xfId="0" applyNumberFormat="1"/>
    <xf numFmtId="43" fontId="4" fillId="6" borderId="1" xfId="1" applyFont="1" applyFill="1" applyBorder="1" applyAlignment="1">
      <alignment horizontal="left" vertical="center"/>
    </xf>
    <xf numFmtId="0" fontId="4" fillId="0" borderId="41" xfId="0" applyFont="1" applyFill="1" applyBorder="1" applyAlignment="1">
      <alignment vertical="center" wrapText="1"/>
    </xf>
    <xf numFmtId="43" fontId="7" fillId="0" borderId="6" xfId="1" applyFont="1" applyFill="1" applyBorder="1" applyAlignment="1">
      <alignment horizontal="left" wrapText="1"/>
    </xf>
    <xf numFmtId="43" fontId="7" fillId="0" borderId="42" xfId="1" applyFont="1" applyFill="1" applyBorder="1" applyAlignment="1">
      <alignment horizontal="left" wrapText="1"/>
    </xf>
    <xf numFmtId="0" fontId="4" fillId="0" borderId="15" xfId="0" applyFont="1" applyFill="1" applyBorder="1" applyAlignment="1">
      <alignment vertical="center" wrapText="1"/>
    </xf>
    <xf numFmtId="43" fontId="7" fillId="0" borderId="1" xfId="1" applyFont="1" applyFill="1" applyBorder="1" applyAlignment="1">
      <alignment horizontal="left" wrapText="1"/>
    </xf>
    <xf numFmtId="43" fontId="7" fillId="0" borderId="22" xfId="1" applyFont="1" applyFill="1" applyBorder="1" applyAlignment="1">
      <alignment horizontal="left" wrapText="1"/>
    </xf>
    <xf numFmtId="0" fontId="4" fillId="0" borderId="43" xfId="0" applyFont="1" applyFill="1" applyBorder="1" applyAlignment="1">
      <alignment vertical="center" wrapText="1"/>
    </xf>
    <xf numFmtId="43" fontId="7" fillId="0" borderId="44" xfId="1" applyFont="1" applyFill="1" applyBorder="1" applyAlignment="1">
      <alignment horizontal="left" wrapText="1"/>
    </xf>
    <xf numFmtId="43" fontId="7" fillId="0" borderId="45" xfId="1" applyFont="1" applyFill="1" applyBorder="1" applyAlignment="1">
      <alignment horizontal="left" wrapText="1"/>
    </xf>
    <xf numFmtId="43" fontId="2" fillId="0" borderId="2" xfId="1" applyFont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1" fillId="0" borderId="47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1" fillId="0" borderId="23" xfId="0" applyFont="1" applyBorder="1" applyAlignment="1">
      <alignment vertical="center"/>
    </xf>
    <xf numFmtId="43" fontId="4" fillId="2" borderId="27" xfId="0" applyNumberFormat="1" applyFont="1" applyFill="1" applyBorder="1" applyAlignment="1">
      <alignment horizontal="center" vertical="center"/>
    </xf>
    <xf numFmtId="166" fontId="4" fillId="2" borderId="45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 wrapText="1"/>
    </xf>
    <xf numFmtId="43" fontId="4" fillId="0" borderId="26" xfId="1" applyFont="1" applyBorder="1" applyAlignment="1">
      <alignment horizontal="left" vertical="center" wrapText="1"/>
    </xf>
    <xf numFmtId="43" fontId="7" fillId="4" borderId="58" xfId="1" applyNumberFormat="1" applyFont="1" applyFill="1" applyBorder="1" applyAlignment="1">
      <alignment horizontal="right" vertical="center"/>
    </xf>
    <xf numFmtId="166" fontId="4" fillId="0" borderId="59" xfId="5" applyNumberFormat="1" applyFont="1" applyBorder="1" applyAlignment="1">
      <alignment horizontal="center" vertical="center" wrapText="1"/>
    </xf>
    <xf numFmtId="43" fontId="7" fillId="2" borderId="46" xfId="1" applyNumberFormat="1" applyFont="1" applyFill="1" applyBorder="1" applyAlignment="1">
      <alignment vertical="center"/>
    </xf>
    <xf numFmtId="166" fontId="7" fillId="2" borderId="21" xfId="0" applyNumberFormat="1" applyFont="1" applyFill="1" applyBorder="1" applyAlignment="1">
      <alignment horizontal="center" vertical="center"/>
    </xf>
    <xf numFmtId="166" fontId="7" fillId="2" borderId="22" xfId="0" applyNumberFormat="1" applyFont="1" applyFill="1" applyBorder="1" applyAlignment="1">
      <alignment horizontal="center" vertical="center"/>
    </xf>
    <xf numFmtId="43" fontId="4" fillId="2" borderId="63" xfId="1" applyNumberFormat="1" applyFont="1" applyFill="1" applyBorder="1" applyAlignment="1">
      <alignment vertical="center"/>
    </xf>
    <xf numFmtId="166" fontId="7" fillId="2" borderId="42" xfId="0" applyNumberFormat="1" applyFont="1" applyFill="1" applyBorder="1" applyAlignment="1">
      <alignment horizontal="center" vertical="center"/>
    </xf>
    <xf numFmtId="0" fontId="5" fillId="3" borderId="65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vertical="center" wrapText="1"/>
    </xf>
    <xf numFmtId="0" fontId="4" fillId="3" borderId="34" xfId="0" applyFont="1" applyFill="1" applyBorder="1" applyAlignment="1">
      <alignment horizontal="center" vertical="center"/>
    </xf>
    <xf numFmtId="43" fontId="4" fillId="3" borderId="34" xfId="1" applyFont="1" applyFill="1" applyBorder="1" applyAlignment="1"/>
    <xf numFmtId="4" fontId="4" fillId="3" borderId="34" xfId="4" applyNumberFormat="1" applyFont="1" applyFill="1" applyBorder="1" applyAlignment="1">
      <alignment horizontal="right" vertical="center"/>
    </xf>
    <xf numFmtId="4" fontId="5" fillId="3" borderId="66" xfId="0" applyNumberFormat="1" applyFont="1" applyFill="1" applyBorder="1" applyAlignment="1">
      <alignment horizontal="right" vertical="center"/>
    </xf>
    <xf numFmtId="4" fontId="5" fillId="3" borderId="55" xfId="0" applyNumberFormat="1" applyFont="1" applyFill="1" applyBorder="1" applyAlignment="1">
      <alignment horizontal="right" vertical="center"/>
    </xf>
    <xf numFmtId="0" fontId="4" fillId="2" borderId="67" xfId="2" applyFont="1" applyFill="1" applyBorder="1" applyAlignment="1">
      <alignment horizontal="center" vertical="center" wrapText="1"/>
    </xf>
    <xf numFmtId="0" fontId="4" fillId="2" borderId="68" xfId="2" applyFont="1" applyFill="1" applyBorder="1" applyAlignment="1">
      <alignment horizontal="center" vertical="center" wrapText="1"/>
    </xf>
    <xf numFmtId="4" fontId="4" fillId="2" borderId="68" xfId="2" applyNumberFormat="1" applyFont="1" applyFill="1" applyBorder="1" applyAlignment="1">
      <alignment horizontal="center" vertical="center" wrapText="1"/>
    </xf>
    <xf numFmtId="43" fontId="4" fillId="2" borderId="68" xfId="1" applyFont="1" applyFill="1" applyBorder="1" applyAlignment="1">
      <alignment wrapText="1"/>
    </xf>
    <xf numFmtId="4" fontId="4" fillId="2" borderId="68" xfId="3" applyNumberFormat="1" applyFont="1" applyFill="1" applyBorder="1" applyAlignment="1">
      <alignment horizontal="center" vertical="center" wrapText="1"/>
    </xf>
    <xf numFmtId="4" fontId="4" fillId="2" borderId="69" xfId="3" applyNumberFormat="1" applyFont="1" applyFill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4" xfId="0" applyFont="1" applyBorder="1" applyAlignment="1">
      <alignment vertical="center" wrapText="1"/>
    </xf>
    <xf numFmtId="43" fontId="2" fillId="0" borderId="70" xfId="1" applyFont="1" applyBorder="1" applyAlignment="1">
      <alignment horizontal="right" wrapText="1"/>
    </xf>
    <xf numFmtId="43" fontId="6" fillId="0" borderId="44" xfId="6" applyNumberFormat="1" applyFont="1" applyBorder="1" applyAlignment="1">
      <alignment vertical="center"/>
    </xf>
    <xf numFmtId="4" fontId="2" fillId="0" borderId="45" xfId="0" applyNumberFormat="1" applyFont="1" applyBorder="1" applyAlignment="1">
      <alignment horizontal="right" vertical="center"/>
    </xf>
    <xf numFmtId="0" fontId="5" fillId="3" borderId="71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vertical="center" wrapText="1"/>
    </xf>
    <xf numFmtId="0" fontId="4" fillId="3" borderId="49" xfId="0" applyFont="1" applyFill="1" applyBorder="1" applyAlignment="1">
      <alignment horizontal="center" vertical="center"/>
    </xf>
    <xf numFmtId="43" fontId="4" fillId="3" borderId="49" xfId="1" applyFont="1" applyFill="1" applyBorder="1" applyAlignment="1"/>
    <xf numFmtId="4" fontId="4" fillId="3" borderId="49" xfId="4" applyNumberFormat="1" applyFont="1" applyFill="1" applyBorder="1" applyAlignment="1">
      <alignment horizontal="right" vertical="center"/>
    </xf>
    <xf numFmtId="4" fontId="5" fillId="3" borderId="72" xfId="0" applyNumberFormat="1" applyFont="1" applyFill="1" applyBorder="1" applyAlignment="1">
      <alignment horizontal="right" vertical="center"/>
    </xf>
    <xf numFmtId="4" fontId="5" fillId="3" borderId="42" xfId="0" applyNumberFormat="1" applyFont="1" applyFill="1" applyBorder="1" applyAlignment="1">
      <alignment horizontal="right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left" vertical="top"/>
    </xf>
    <xf numFmtId="0" fontId="6" fillId="5" borderId="44" xfId="0" applyFont="1" applyFill="1" applyBorder="1" applyAlignment="1">
      <alignment horizontal="center" vertical="top"/>
    </xf>
    <xf numFmtId="0" fontId="2" fillId="0" borderId="56" xfId="0" applyFont="1" applyBorder="1" applyAlignment="1">
      <alignment horizontal="center" vertical="center"/>
    </xf>
    <xf numFmtId="0" fontId="6" fillId="5" borderId="74" xfId="0" applyFont="1" applyFill="1" applyBorder="1" applyAlignment="1">
      <alignment horizontal="center" vertical="center"/>
    </xf>
    <xf numFmtId="0" fontId="6" fillId="5" borderId="74" xfId="0" applyFont="1" applyFill="1" applyBorder="1" applyAlignment="1">
      <alignment horizontal="left" vertical="top"/>
    </xf>
    <xf numFmtId="0" fontId="6" fillId="5" borderId="74" xfId="0" applyFont="1" applyFill="1" applyBorder="1" applyAlignment="1">
      <alignment horizontal="center" vertical="top"/>
    </xf>
    <xf numFmtId="43" fontId="2" fillId="0" borderId="75" xfId="1" applyFont="1" applyBorder="1" applyAlignment="1">
      <alignment horizontal="right" wrapText="1"/>
    </xf>
    <xf numFmtId="43" fontId="6" fillId="0" borderId="74" xfId="6" applyNumberFormat="1" applyFont="1" applyBorder="1" applyAlignment="1">
      <alignment vertical="center"/>
    </xf>
    <xf numFmtId="4" fontId="2" fillId="0" borderId="57" xfId="0" applyNumberFormat="1" applyFont="1" applyBorder="1" applyAlignment="1">
      <alignment horizontal="right" vertical="center"/>
    </xf>
    <xf numFmtId="49" fontId="4" fillId="2" borderId="51" xfId="0" applyNumberFormat="1" applyFont="1" applyFill="1" applyBorder="1" applyAlignment="1">
      <alignment horizontal="center" vertical="center"/>
    </xf>
    <xf numFmtId="49" fontId="4" fillId="2" borderId="26" xfId="0" applyNumberFormat="1" applyFont="1" applyFill="1" applyBorder="1" applyAlignment="1">
      <alignment horizontal="center" vertical="center"/>
    </xf>
    <xf numFmtId="49" fontId="4" fillId="2" borderId="52" xfId="0" applyNumberFormat="1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4" fillId="3" borderId="34" xfId="0" applyFont="1" applyFill="1" applyBorder="1" applyAlignment="1">
      <alignment vertical="center"/>
    </xf>
    <xf numFmtId="43" fontId="4" fillId="3" borderId="40" xfId="1" applyNumberFormat="1" applyFont="1" applyFill="1" applyBorder="1" applyAlignment="1">
      <alignment horizontal="center" vertical="center"/>
    </xf>
    <xf numFmtId="43" fontId="4" fillId="3" borderId="30" xfId="1" applyNumberFormat="1" applyFont="1" applyFill="1" applyBorder="1" applyAlignment="1">
      <alignment horizontal="center" vertical="center"/>
    </xf>
    <xf numFmtId="166" fontId="4" fillId="3" borderId="54" xfId="5" applyNumberFormat="1" applyFont="1" applyFill="1" applyBorder="1" applyAlignment="1">
      <alignment horizontal="center" vertical="center"/>
    </xf>
    <xf numFmtId="166" fontId="4" fillId="3" borderId="55" xfId="5" applyNumberFormat="1" applyFont="1" applyFill="1" applyBorder="1" applyAlignment="1">
      <alignment horizontal="center" vertical="center"/>
    </xf>
    <xf numFmtId="10" fontId="14" fillId="3" borderId="33" xfId="5" applyNumberFormat="1" applyFont="1" applyFill="1" applyBorder="1" applyAlignment="1">
      <alignment horizontal="center" vertical="center"/>
    </xf>
    <xf numFmtId="10" fontId="14" fillId="3" borderId="1" xfId="5" applyNumberFormat="1" applyFont="1" applyFill="1" applyBorder="1" applyAlignment="1">
      <alignment horizontal="center" vertical="center"/>
    </xf>
    <xf numFmtId="10" fontId="14" fillId="3" borderId="35" xfId="5" applyNumberFormat="1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3" xfId="0" applyFont="1" applyFill="1" applyBorder="1" applyAlignment="1">
      <alignment horizontal="left" vertical="center"/>
    </xf>
    <xf numFmtId="0" fontId="4" fillId="2" borderId="4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2" borderId="42" xfId="0" applyNumberFormat="1" applyFont="1" applyFill="1" applyBorder="1" applyAlignment="1">
      <alignment horizontal="center" vertical="center"/>
    </xf>
    <xf numFmtId="0" fontId="7" fillId="0" borderId="56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0" fontId="7" fillId="0" borderId="37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43" fontId="7" fillId="0" borderId="36" xfId="1" applyNumberFormat="1" applyFont="1" applyFill="1" applyBorder="1" applyAlignment="1">
      <alignment horizontal="center" vertical="center"/>
    </xf>
    <xf numFmtId="43" fontId="7" fillId="0" borderId="30" xfId="1" applyNumberFormat="1" applyFont="1" applyFill="1" applyBorder="1" applyAlignment="1">
      <alignment horizontal="center" vertical="center"/>
    </xf>
    <xf numFmtId="166" fontId="12" fillId="0" borderId="57" xfId="5" applyNumberFormat="1" applyFont="1" applyBorder="1" applyAlignment="1">
      <alignment horizontal="center" vertical="center"/>
    </xf>
    <xf numFmtId="166" fontId="12" fillId="0" borderId="55" xfId="5" applyNumberFormat="1" applyFont="1" applyBorder="1" applyAlignment="1">
      <alignment horizontal="center" vertical="center"/>
    </xf>
    <xf numFmtId="43" fontId="4" fillId="0" borderId="38" xfId="1" applyFont="1" applyFill="1" applyBorder="1" applyAlignment="1">
      <alignment horizontal="center" vertical="center"/>
    </xf>
    <xf numFmtId="43" fontId="4" fillId="0" borderId="5" xfId="1" applyFont="1" applyFill="1" applyBorder="1" applyAlignment="1">
      <alignment horizontal="center" vertical="center"/>
    </xf>
    <xf numFmtId="43" fontId="4" fillId="0" borderId="39" xfId="1" applyFont="1" applyFill="1" applyBorder="1" applyAlignment="1">
      <alignment horizontal="center" vertical="center"/>
    </xf>
    <xf numFmtId="0" fontId="7" fillId="0" borderId="56" xfId="0" applyFont="1" applyBorder="1" applyAlignment="1">
      <alignment vertical="center" wrapText="1"/>
    </xf>
    <xf numFmtId="0" fontId="7" fillId="0" borderId="53" xfId="0" applyFont="1" applyBorder="1" applyAlignment="1">
      <alignment vertical="center" wrapText="1"/>
    </xf>
    <xf numFmtId="0" fontId="7" fillId="0" borderId="37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43" fontId="7" fillId="2" borderId="61" xfId="1" applyNumberFormat="1" applyFont="1" applyFill="1" applyBorder="1" applyAlignment="1">
      <alignment horizontal="center" vertical="center"/>
    </xf>
    <xf numFmtId="43" fontId="7" fillId="2" borderId="61" xfId="1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43" fontId="4" fillId="2" borderId="62" xfId="1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43" fontId="7" fillId="2" borderId="61" xfId="0" applyNumberFormat="1" applyFont="1" applyFill="1" applyBorder="1" applyAlignment="1">
      <alignment horizontal="center" vertical="center"/>
    </xf>
    <xf numFmtId="43" fontId="7" fillId="2" borderId="50" xfId="0" applyNumberFormat="1" applyFont="1" applyFill="1" applyBorder="1" applyAlignment="1">
      <alignment horizontal="center" vertical="center"/>
    </xf>
    <xf numFmtId="43" fontId="7" fillId="2" borderId="49" xfId="0" applyNumberFormat="1" applyFont="1" applyFill="1" applyBorder="1" applyAlignment="1">
      <alignment horizontal="center" vertical="center"/>
    </xf>
    <xf numFmtId="43" fontId="7" fillId="2" borderId="64" xfId="0" applyNumberFormat="1" applyFont="1" applyFill="1" applyBorder="1" applyAlignment="1">
      <alignment horizontal="center" vertical="center"/>
    </xf>
    <xf numFmtId="43" fontId="7" fillId="2" borderId="7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4" fontId="5" fillId="2" borderId="28" xfId="0" applyNumberFormat="1" applyFont="1" applyFill="1" applyBorder="1" applyAlignment="1">
      <alignment horizontal="right" vertical="center"/>
    </xf>
    <xf numFmtId="4" fontId="5" fillId="2" borderId="29" xfId="0" applyNumberFormat="1" applyFont="1" applyFill="1" applyBorder="1" applyAlignment="1">
      <alignment horizontal="right" vertical="center"/>
    </xf>
    <xf numFmtId="0" fontId="5" fillId="2" borderId="71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72" xfId="0" applyFont="1" applyFill="1" applyBorder="1" applyAlignment="1">
      <alignment horizontal="center" vertical="center"/>
    </xf>
    <xf numFmtId="4" fontId="5" fillId="2" borderId="60" xfId="0" applyNumberFormat="1" applyFont="1" applyFill="1" applyBorder="1" applyAlignment="1">
      <alignment horizontal="right" vertical="center"/>
    </xf>
    <xf numFmtId="4" fontId="5" fillId="2" borderId="73" xfId="0" applyNumberFormat="1" applyFont="1" applyFill="1" applyBorder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right" vertical="center"/>
    </xf>
    <xf numFmtId="4" fontId="5" fillId="2" borderId="24" xfId="0" applyNumberFormat="1" applyFont="1" applyFill="1" applyBorder="1" applyAlignment="1">
      <alignment horizontal="right" vertical="center"/>
    </xf>
    <xf numFmtId="0" fontId="0" fillId="0" borderId="73" xfId="0" applyBorder="1"/>
  </cellXfs>
  <cellStyles count="14">
    <cellStyle name="Moeda_OCC - GERALDO" xfId="4"/>
    <cellStyle name="Normal" xfId="0" builtinId="0"/>
    <cellStyle name="Normal 2" xfId="7"/>
    <cellStyle name="Normal 2 2" xfId="8"/>
    <cellStyle name="Normal 3" xfId="9"/>
    <cellStyle name="Normal 5" xfId="2"/>
    <cellStyle name="Porcentagem" xfId="5" builtinId="5"/>
    <cellStyle name="Separador de milhares 3" xfId="3"/>
    <cellStyle name="Separador de milhares 3 2" xfId="10"/>
    <cellStyle name="Vírgula" xfId="1" builtinId="3"/>
    <cellStyle name="Vírgula 2" xfId="6"/>
    <cellStyle name="Vírgula 2 2" xfId="11"/>
    <cellStyle name="Vírgula 3" xfId="12"/>
    <cellStyle name="Vírgula 4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1800224</xdr:colOff>
      <xdr:row>0</xdr:row>
      <xdr:rowOff>66675</xdr:rowOff>
    </xdr:from>
    <xdr:ext cx="3076576" cy="743011"/>
    <xdr:sp macro="" textlink="">
      <xdr:nvSpPr>
        <xdr:cNvPr id="6" name="Retângulo 5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1933574" y="666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219075</xdr:rowOff>
    </xdr:from>
    <xdr:ext cx="13563600" cy="568386"/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219075"/>
          <a:ext cx="13563600" cy="5683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Quiosques PE. Aguapeí</a:t>
          </a:r>
          <a:endParaRPr lang="pt-BR" sz="4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219075</xdr:rowOff>
    </xdr:from>
    <xdr:ext cx="13563600" cy="568386"/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219075"/>
          <a:ext cx="13563600" cy="5683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Quiosques PE. Aguapeí</a:t>
          </a:r>
          <a:endParaRPr lang="pt-BR" sz="4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view="pageLayout" topLeftCell="B22" zoomScale="80" zoomScaleNormal="70" zoomScalePageLayoutView="80" workbookViewId="0">
      <selection activeCell="D55" sqref="D55"/>
    </sheetView>
  </sheetViews>
  <sheetFormatPr defaultRowHeight="15"/>
  <cols>
    <col min="2" max="2" width="80.140625" customWidth="1"/>
    <col min="3" max="14" width="8.28515625" customWidth="1"/>
    <col min="15" max="30" width="8.28515625" hidden="1" customWidth="1"/>
    <col min="31" max="31" width="18.28515625" customWidth="1"/>
    <col min="32" max="32" width="12.7109375" customWidth="1"/>
  </cols>
  <sheetData>
    <row r="1" spans="1:32" s="83" customFormat="1">
      <c r="A1" s="177" t="s">
        <v>155</v>
      </c>
      <c r="B1" s="179" t="s">
        <v>156</v>
      </c>
      <c r="C1" s="181" t="s">
        <v>157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82" t="s">
        <v>14</v>
      </c>
      <c r="AF1" s="183"/>
    </row>
    <row r="2" spans="1:32" s="83" customFormat="1" ht="15.75" thickBot="1">
      <c r="A2" s="178"/>
      <c r="B2" s="180"/>
      <c r="C2" s="163" t="s">
        <v>158</v>
      </c>
      <c r="D2" s="164"/>
      <c r="E2" s="164"/>
      <c r="F2" s="165"/>
      <c r="G2" s="163" t="s">
        <v>159</v>
      </c>
      <c r="H2" s="164"/>
      <c r="I2" s="164"/>
      <c r="J2" s="165"/>
      <c r="K2" s="163" t="s">
        <v>160</v>
      </c>
      <c r="L2" s="164"/>
      <c r="M2" s="164"/>
      <c r="N2" s="165"/>
      <c r="O2" s="163" t="s">
        <v>161</v>
      </c>
      <c r="P2" s="164"/>
      <c r="Q2" s="164"/>
      <c r="R2" s="165"/>
      <c r="S2" s="163" t="s">
        <v>162</v>
      </c>
      <c r="T2" s="164"/>
      <c r="U2" s="164"/>
      <c r="V2" s="165"/>
      <c r="W2" s="163" t="s">
        <v>163</v>
      </c>
      <c r="X2" s="164"/>
      <c r="Y2" s="164"/>
      <c r="Z2" s="165"/>
      <c r="AA2" s="163" t="s">
        <v>164</v>
      </c>
      <c r="AB2" s="164"/>
      <c r="AC2" s="164"/>
      <c r="AD2" s="165"/>
      <c r="AE2" s="113" t="s">
        <v>15</v>
      </c>
      <c r="AF2" s="114" t="s">
        <v>16</v>
      </c>
    </row>
    <row r="3" spans="1:32" s="83" customFormat="1" ht="7.5" customHeight="1">
      <c r="A3" s="166">
        <v>1</v>
      </c>
      <c r="B3" s="168" t="str">
        <f>Resumo!B7</f>
        <v>Serviços Iniciais e Complementares</v>
      </c>
      <c r="C3" s="84"/>
      <c r="D3" s="85"/>
      <c r="E3" s="85"/>
      <c r="F3" s="86"/>
      <c r="G3" s="84"/>
      <c r="H3" s="85"/>
      <c r="I3" s="85"/>
      <c r="J3" s="86"/>
      <c r="K3" s="84"/>
      <c r="L3" s="85"/>
      <c r="M3" s="85"/>
      <c r="N3" s="86"/>
      <c r="O3" s="84"/>
      <c r="P3" s="85"/>
      <c r="Q3" s="85"/>
      <c r="R3" s="86"/>
      <c r="S3" s="84"/>
      <c r="T3" s="85"/>
      <c r="U3" s="85"/>
      <c r="V3" s="86"/>
      <c r="W3" s="84"/>
      <c r="X3" s="85"/>
      <c r="Y3" s="85"/>
      <c r="Z3" s="86"/>
      <c r="AA3" s="84"/>
      <c r="AB3" s="85"/>
      <c r="AC3" s="85"/>
      <c r="AD3" s="86"/>
      <c r="AE3" s="170">
        <f>Resumo!D7</f>
        <v>11043.03</v>
      </c>
      <c r="AF3" s="172">
        <f>AE3/AE$40</f>
        <v>6.9065757414364728E-2</v>
      </c>
    </row>
    <row r="4" spans="1:32" s="83" customFormat="1" ht="14.25">
      <c r="A4" s="167"/>
      <c r="B4" s="169"/>
      <c r="C4" s="174">
        <f>IFERROR(SUM(C5:F10)/$AE3,"")</f>
        <v>0.35225024291340329</v>
      </c>
      <c r="D4" s="175"/>
      <c r="E4" s="175"/>
      <c r="F4" s="176"/>
      <c r="G4" s="174">
        <f>IFERROR(SUM(G5:J10)/$AE3,"")</f>
        <v>0.19197629636069086</v>
      </c>
      <c r="H4" s="175"/>
      <c r="I4" s="175"/>
      <c r="J4" s="176"/>
      <c r="K4" s="174">
        <f>IFERROR(SUM(K5:N10)/$AE3,"")</f>
        <v>0.4557734607259058</v>
      </c>
      <c r="L4" s="175"/>
      <c r="M4" s="175"/>
      <c r="N4" s="176"/>
      <c r="O4" s="174">
        <f>IFERROR(SUM(O5:R10)/$AE3,"")</f>
        <v>0</v>
      </c>
      <c r="P4" s="175"/>
      <c r="Q4" s="175"/>
      <c r="R4" s="176"/>
      <c r="S4" s="174">
        <f>IFERROR(SUM(S5:V10)/$AE3,"")</f>
        <v>0</v>
      </c>
      <c r="T4" s="175"/>
      <c r="U4" s="175"/>
      <c r="V4" s="176"/>
      <c r="W4" s="174">
        <f>IFERROR(SUM(W5:Z10)/$AE3,"")</f>
        <v>0</v>
      </c>
      <c r="X4" s="175"/>
      <c r="Y4" s="175"/>
      <c r="Z4" s="176"/>
      <c r="AA4" s="174">
        <f>IFERROR(SUM(AA5:AD10)/$AE3,"")</f>
        <v>0</v>
      </c>
      <c r="AB4" s="175"/>
      <c r="AC4" s="175"/>
      <c r="AD4" s="176"/>
      <c r="AE4" s="171"/>
      <c r="AF4" s="173"/>
    </row>
    <row r="5" spans="1:32" s="83" customFormat="1" ht="7.5" customHeight="1">
      <c r="A5" s="184" t="s">
        <v>27</v>
      </c>
      <c r="B5" s="186" t="str">
        <f>'Serv. Iniciais e Complementares'!C6</f>
        <v xml:space="preserve">Serviços preliminares </v>
      </c>
      <c r="C5" s="90"/>
      <c r="D5" s="97"/>
      <c r="E5" s="97"/>
      <c r="F5" s="91"/>
      <c r="G5" s="90"/>
      <c r="H5" s="97"/>
      <c r="I5" s="97"/>
      <c r="J5" s="91"/>
      <c r="K5" s="90"/>
      <c r="L5" s="97"/>
      <c r="M5" s="97"/>
      <c r="N5" s="91"/>
      <c r="O5" s="89"/>
      <c r="P5" s="87"/>
      <c r="Q5" s="87"/>
      <c r="R5" s="88"/>
      <c r="S5" s="89"/>
      <c r="T5" s="87"/>
      <c r="U5" s="87"/>
      <c r="V5" s="88"/>
      <c r="W5" s="89"/>
      <c r="X5" s="87"/>
      <c r="Y5" s="87"/>
      <c r="Z5" s="88"/>
      <c r="AA5" s="89"/>
      <c r="AB5" s="87"/>
      <c r="AC5" s="87"/>
      <c r="AD5" s="88"/>
      <c r="AE5" s="188">
        <f>'Serv. Iniciais e Complementares'!I6</f>
        <v>6359.91</v>
      </c>
      <c r="AF5" s="190">
        <f>IFERROR(AE5/AE$3,"")</f>
        <v>0.57592073914496289</v>
      </c>
    </row>
    <row r="6" spans="1:32" s="83" customFormat="1">
      <c r="A6" s="185"/>
      <c r="B6" s="187"/>
      <c r="C6" s="192">
        <f>AE5-G6-K6</f>
        <v>3639.91</v>
      </c>
      <c r="D6" s="193"/>
      <c r="E6" s="193"/>
      <c r="F6" s="194"/>
      <c r="G6" s="192">
        <v>1360</v>
      </c>
      <c r="H6" s="193"/>
      <c r="I6" s="193"/>
      <c r="J6" s="194"/>
      <c r="K6" s="192">
        <v>1360</v>
      </c>
      <c r="L6" s="193"/>
      <c r="M6" s="193"/>
      <c r="N6" s="194"/>
      <c r="O6" s="192"/>
      <c r="P6" s="193"/>
      <c r="Q6" s="193"/>
      <c r="R6" s="194"/>
      <c r="S6" s="192"/>
      <c r="T6" s="193"/>
      <c r="U6" s="193"/>
      <c r="V6" s="194"/>
      <c r="W6" s="192"/>
      <c r="X6" s="193"/>
      <c r="Y6" s="193"/>
      <c r="Z6" s="194"/>
      <c r="AA6" s="192"/>
      <c r="AB6" s="193"/>
      <c r="AC6" s="193"/>
      <c r="AD6" s="194"/>
      <c r="AE6" s="189"/>
      <c r="AF6" s="191"/>
    </row>
    <row r="7" spans="1:32" s="83" customFormat="1" ht="7.5" customHeight="1">
      <c r="A7" s="184" t="s">
        <v>112</v>
      </c>
      <c r="B7" s="186" t="str">
        <f>'Serv. Iniciais e Complementares'!C11</f>
        <v>Entulho</v>
      </c>
      <c r="C7" s="89"/>
      <c r="D7" s="87"/>
      <c r="E7" s="97"/>
      <c r="F7" s="91"/>
      <c r="G7" s="90"/>
      <c r="H7" s="97"/>
      <c r="I7" s="97"/>
      <c r="J7" s="91"/>
      <c r="K7" s="90"/>
      <c r="L7" s="97"/>
      <c r="M7" s="97"/>
      <c r="N7" s="88"/>
      <c r="O7" s="89"/>
      <c r="P7" s="87"/>
      <c r="Q7" s="87"/>
      <c r="R7" s="88"/>
      <c r="S7" s="89"/>
      <c r="T7" s="87"/>
      <c r="U7" s="87"/>
      <c r="V7" s="88"/>
      <c r="W7" s="89"/>
      <c r="X7" s="87"/>
      <c r="Y7" s="87"/>
      <c r="Z7" s="88"/>
      <c r="AA7" s="89"/>
      <c r="AB7" s="87"/>
      <c r="AC7" s="87"/>
      <c r="AD7" s="88"/>
      <c r="AE7" s="188">
        <f>'Serv. Iniciais e Complementares'!I11</f>
        <v>1563.1200000000001</v>
      </c>
      <c r="AF7" s="190">
        <f>IFERROR(AE7/AE$3,"")</f>
        <v>0.14154810772043544</v>
      </c>
    </row>
    <row r="8" spans="1:32" s="83" customFormat="1">
      <c r="A8" s="185"/>
      <c r="B8" s="187"/>
      <c r="C8" s="192">
        <v>250</v>
      </c>
      <c r="D8" s="193"/>
      <c r="E8" s="193"/>
      <c r="F8" s="194"/>
      <c r="G8" s="192">
        <v>760</v>
      </c>
      <c r="H8" s="193"/>
      <c r="I8" s="193"/>
      <c r="J8" s="194"/>
      <c r="K8" s="192">
        <f>AE7-G8-C8</f>
        <v>553.12000000000012</v>
      </c>
      <c r="L8" s="193"/>
      <c r="M8" s="193"/>
      <c r="N8" s="194"/>
      <c r="O8" s="192"/>
      <c r="P8" s="193"/>
      <c r="Q8" s="193"/>
      <c r="R8" s="194"/>
      <c r="S8" s="192"/>
      <c r="T8" s="193"/>
      <c r="U8" s="193"/>
      <c r="V8" s="194"/>
      <c r="W8" s="192"/>
      <c r="X8" s="193"/>
      <c r="Y8" s="193"/>
      <c r="Z8" s="194"/>
      <c r="AA8" s="192"/>
      <c r="AB8" s="193"/>
      <c r="AC8" s="193"/>
      <c r="AD8" s="194"/>
      <c r="AE8" s="189"/>
      <c r="AF8" s="191"/>
    </row>
    <row r="9" spans="1:32" s="83" customFormat="1" ht="7.5" customHeight="1">
      <c r="A9" s="184" t="s">
        <v>28</v>
      </c>
      <c r="B9" s="186" t="str">
        <f>'Serv. Iniciais e Complementares'!C14</f>
        <v>Limpeza Final</v>
      </c>
      <c r="C9" s="89"/>
      <c r="D9" s="87"/>
      <c r="E9" s="87"/>
      <c r="F9" s="88"/>
      <c r="G9" s="89"/>
      <c r="H9" s="87"/>
      <c r="I9" s="87"/>
      <c r="J9" s="88"/>
      <c r="K9" s="89"/>
      <c r="L9" s="87"/>
      <c r="M9" s="97"/>
      <c r="N9" s="91"/>
      <c r="O9" s="89"/>
      <c r="P9" s="87"/>
      <c r="Q9" s="87"/>
      <c r="R9" s="88"/>
      <c r="S9" s="89"/>
      <c r="T9" s="87"/>
      <c r="U9" s="87"/>
      <c r="V9" s="88"/>
      <c r="W9" s="89"/>
      <c r="X9" s="87"/>
      <c r="Y9" s="87"/>
      <c r="Z9" s="88"/>
      <c r="AA9" s="89"/>
      <c r="AB9" s="87"/>
      <c r="AC9" s="87"/>
      <c r="AD9" s="88"/>
      <c r="AE9" s="188">
        <f>'Serv. Iniciais e Complementares'!I14</f>
        <v>3120</v>
      </c>
      <c r="AF9" s="190">
        <f>IFERROR(AE9/AE$3,"")</f>
        <v>0.28253115313460164</v>
      </c>
    </row>
    <row r="10" spans="1:32" s="83" customFormat="1">
      <c r="A10" s="185"/>
      <c r="B10" s="187"/>
      <c r="C10" s="192"/>
      <c r="D10" s="193"/>
      <c r="E10" s="193"/>
      <c r="F10" s="194"/>
      <c r="G10" s="192"/>
      <c r="H10" s="193"/>
      <c r="I10" s="193"/>
      <c r="J10" s="194"/>
      <c r="K10" s="192">
        <f>AE9</f>
        <v>3120</v>
      </c>
      <c r="L10" s="193"/>
      <c r="M10" s="193"/>
      <c r="N10" s="194"/>
      <c r="O10" s="192"/>
      <c r="P10" s="193"/>
      <c r="Q10" s="193"/>
      <c r="R10" s="194"/>
      <c r="S10" s="192"/>
      <c r="T10" s="193"/>
      <c r="U10" s="193"/>
      <c r="V10" s="194"/>
      <c r="W10" s="192"/>
      <c r="X10" s="193"/>
      <c r="Y10" s="193"/>
      <c r="Z10" s="194"/>
      <c r="AA10" s="192"/>
      <c r="AB10" s="193"/>
      <c r="AC10" s="193"/>
      <c r="AD10" s="194"/>
      <c r="AE10" s="189"/>
      <c r="AF10" s="191"/>
    </row>
    <row r="11" spans="1:32" s="83" customFormat="1" ht="7.5" customHeight="1">
      <c r="A11" s="166">
        <v>3</v>
      </c>
      <c r="B11" s="168" t="str">
        <f>Resumo!B8</f>
        <v>Quiosques</v>
      </c>
      <c r="C11" s="84"/>
      <c r="D11" s="85"/>
      <c r="E11" s="85"/>
      <c r="F11" s="86"/>
      <c r="G11" s="84"/>
      <c r="H11" s="85"/>
      <c r="I11" s="85"/>
      <c r="J11" s="86"/>
      <c r="K11" s="84"/>
      <c r="L11" s="85"/>
      <c r="M11" s="85"/>
      <c r="N11" s="86"/>
      <c r="O11" s="84"/>
      <c r="P11" s="85"/>
      <c r="Q11" s="85"/>
      <c r="R11" s="86"/>
      <c r="S11" s="84"/>
      <c r="T11" s="85"/>
      <c r="U11" s="85"/>
      <c r="V11" s="86"/>
      <c r="W11" s="84"/>
      <c r="X11" s="85"/>
      <c r="Y11" s="85"/>
      <c r="Z11" s="86"/>
      <c r="AA11" s="84"/>
      <c r="AB11" s="85"/>
      <c r="AC11" s="85"/>
      <c r="AD11" s="86"/>
      <c r="AE11" s="170">
        <f>Resumo!D8</f>
        <v>114038.60545000002</v>
      </c>
      <c r="AF11" s="172">
        <f>AE11/AE$40</f>
        <v>0.71322478159365255</v>
      </c>
    </row>
    <row r="12" spans="1:32" s="83" customFormat="1" ht="14.25">
      <c r="A12" s="167"/>
      <c r="B12" s="169"/>
      <c r="C12" s="174">
        <f>IFERROR(SUM(C13:F26)/$AE11,"")</f>
        <v>7.89206423954915E-2</v>
      </c>
      <c r="D12" s="175"/>
      <c r="E12" s="175"/>
      <c r="F12" s="176"/>
      <c r="G12" s="174">
        <f>IFERROR(SUM(G13:J26)/$AE11,"")</f>
        <v>0.75768345902725165</v>
      </c>
      <c r="H12" s="175"/>
      <c r="I12" s="175"/>
      <c r="J12" s="176"/>
      <c r="K12" s="174">
        <f>IFERROR(SUM(K13:N26)/$AE11,"")</f>
        <v>0.36339589857725674</v>
      </c>
      <c r="L12" s="175"/>
      <c r="M12" s="175"/>
      <c r="N12" s="176"/>
      <c r="O12" s="174">
        <f>IFERROR(SUM(O13:R36)/$AE11,"")</f>
        <v>0</v>
      </c>
      <c r="P12" s="175"/>
      <c r="Q12" s="175"/>
      <c r="R12" s="176"/>
      <c r="S12" s="174">
        <f>IFERROR(SUM(S13:V36)/$AE11,"")</f>
        <v>0</v>
      </c>
      <c r="T12" s="175"/>
      <c r="U12" s="175"/>
      <c r="V12" s="176"/>
      <c r="W12" s="174">
        <f>IFERROR(SUM(W13:Z36)/$AE11,"")</f>
        <v>0</v>
      </c>
      <c r="X12" s="175"/>
      <c r="Y12" s="175"/>
      <c r="Z12" s="176"/>
      <c r="AA12" s="174">
        <f>IFERROR(SUM(AA13:AD36)/$AE11,"")</f>
        <v>0</v>
      </c>
      <c r="AB12" s="175"/>
      <c r="AC12" s="175"/>
      <c r="AD12" s="176"/>
      <c r="AE12" s="171"/>
      <c r="AF12" s="173"/>
    </row>
    <row r="13" spans="1:32" s="83" customFormat="1" ht="7.5" customHeight="1">
      <c r="A13" s="184" t="s">
        <v>35</v>
      </c>
      <c r="B13" s="186" t="str">
        <f>Quiosque!C6</f>
        <v>Serviços iniciais</v>
      </c>
      <c r="C13" s="89"/>
      <c r="D13" s="97"/>
      <c r="E13" s="97"/>
      <c r="F13" s="91"/>
      <c r="G13" s="90"/>
      <c r="H13" s="87"/>
      <c r="I13" s="87"/>
      <c r="J13" s="88"/>
      <c r="K13" s="89"/>
      <c r="L13" s="87"/>
      <c r="M13" s="87"/>
      <c r="N13" s="88"/>
      <c r="O13" s="89"/>
      <c r="P13" s="87"/>
      <c r="Q13" s="87"/>
      <c r="R13" s="88"/>
      <c r="S13" s="89"/>
      <c r="T13" s="87"/>
      <c r="U13" s="87"/>
      <c r="V13" s="88"/>
      <c r="W13" s="89"/>
      <c r="X13" s="87"/>
      <c r="Y13" s="87"/>
      <c r="Z13" s="88"/>
      <c r="AA13" s="89"/>
      <c r="AB13" s="87"/>
      <c r="AC13" s="87"/>
      <c r="AD13" s="88"/>
      <c r="AE13" s="188">
        <f>Quiosque!I6*6</f>
        <v>3604.7700000000004</v>
      </c>
      <c r="AF13" s="190">
        <f>IFERROR(AE13/AE$11,"")</f>
        <v>3.1610084898666214E-2</v>
      </c>
    </row>
    <row r="14" spans="1:32" s="83" customFormat="1">
      <c r="A14" s="185"/>
      <c r="B14" s="187"/>
      <c r="C14" s="192">
        <v>3000</v>
      </c>
      <c r="D14" s="193"/>
      <c r="E14" s="193"/>
      <c r="F14" s="194"/>
      <c r="G14" s="192">
        <f>AE13-C14</f>
        <v>604.77000000000044</v>
      </c>
      <c r="H14" s="193"/>
      <c r="I14" s="193"/>
      <c r="J14" s="194"/>
      <c r="K14" s="192"/>
      <c r="L14" s="193"/>
      <c r="M14" s="193"/>
      <c r="N14" s="194"/>
      <c r="O14" s="192"/>
      <c r="P14" s="193"/>
      <c r="Q14" s="193"/>
      <c r="R14" s="194"/>
      <c r="S14" s="192"/>
      <c r="T14" s="193"/>
      <c r="U14" s="193"/>
      <c r="V14" s="194"/>
      <c r="W14" s="192"/>
      <c r="X14" s="193"/>
      <c r="Y14" s="193"/>
      <c r="Z14" s="194"/>
      <c r="AA14" s="192"/>
      <c r="AB14" s="193"/>
      <c r="AC14" s="193"/>
      <c r="AD14" s="194"/>
      <c r="AE14" s="189"/>
      <c r="AF14" s="191"/>
    </row>
    <row r="15" spans="1:32" s="83" customFormat="1" ht="7.5" customHeight="1">
      <c r="A15" s="184" t="s">
        <v>36</v>
      </c>
      <c r="B15" s="186" t="str">
        <f>Quiosque!C9</f>
        <v>Fundação</v>
      </c>
      <c r="C15" s="89"/>
      <c r="D15" s="87"/>
      <c r="E15" s="97"/>
      <c r="F15" s="91"/>
      <c r="G15" s="90"/>
      <c r="H15" s="97"/>
      <c r="I15" s="87"/>
      <c r="J15" s="88"/>
      <c r="K15" s="89"/>
      <c r="L15" s="87"/>
      <c r="M15" s="87"/>
      <c r="N15" s="88"/>
      <c r="O15" s="89"/>
      <c r="P15" s="87"/>
      <c r="Q15" s="87"/>
      <c r="R15" s="88"/>
      <c r="S15" s="89"/>
      <c r="T15" s="87"/>
      <c r="U15" s="87"/>
      <c r="V15" s="88"/>
      <c r="W15" s="89"/>
      <c r="X15" s="87"/>
      <c r="Y15" s="87"/>
      <c r="Z15" s="88"/>
      <c r="AA15" s="89"/>
      <c r="AB15" s="87"/>
      <c r="AC15" s="87"/>
      <c r="AD15" s="88"/>
      <c r="AE15" s="188">
        <f>Quiosque!I9*6</f>
        <v>6583.3250399999997</v>
      </c>
      <c r="AF15" s="190">
        <f t="shared" ref="AF15" si="0">IFERROR(AE15/AE$11,"")</f>
        <v>5.7728915695013865E-2</v>
      </c>
    </row>
    <row r="16" spans="1:32" s="83" customFormat="1">
      <c r="A16" s="185"/>
      <c r="B16" s="187"/>
      <c r="C16" s="192">
        <v>4000</v>
      </c>
      <c r="D16" s="193"/>
      <c r="E16" s="193"/>
      <c r="F16" s="194"/>
      <c r="G16" s="192">
        <f>AE15-C16</f>
        <v>2583.3250399999997</v>
      </c>
      <c r="H16" s="193"/>
      <c r="I16" s="193"/>
      <c r="J16" s="194"/>
      <c r="K16" s="192"/>
      <c r="L16" s="193"/>
      <c r="M16" s="193"/>
      <c r="N16" s="194"/>
      <c r="O16" s="192"/>
      <c r="P16" s="193"/>
      <c r="Q16" s="193"/>
      <c r="R16" s="194"/>
      <c r="S16" s="192"/>
      <c r="T16" s="193"/>
      <c r="U16" s="193"/>
      <c r="V16" s="194"/>
      <c r="W16" s="192"/>
      <c r="X16" s="193"/>
      <c r="Y16" s="193"/>
      <c r="Z16" s="194"/>
      <c r="AA16" s="192"/>
      <c r="AB16" s="193"/>
      <c r="AC16" s="193"/>
      <c r="AD16" s="194"/>
      <c r="AE16" s="189"/>
      <c r="AF16" s="191"/>
    </row>
    <row r="17" spans="1:32" s="83" customFormat="1" ht="7.5" customHeight="1">
      <c r="A17" s="184" t="s">
        <v>37</v>
      </c>
      <c r="B17" s="186" t="str">
        <f>Quiosque!C19</f>
        <v xml:space="preserve">Estrutura </v>
      </c>
      <c r="C17" s="89"/>
      <c r="D17" s="87"/>
      <c r="E17" s="87"/>
      <c r="F17" s="91"/>
      <c r="G17" s="90"/>
      <c r="H17" s="97"/>
      <c r="I17" s="97"/>
      <c r="J17" s="88"/>
      <c r="K17" s="89"/>
      <c r="L17" s="87"/>
      <c r="M17" s="87"/>
      <c r="N17" s="88"/>
      <c r="O17" s="89"/>
      <c r="P17" s="87"/>
      <c r="Q17" s="87"/>
      <c r="R17" s="88"/>
      <c r="S17" s="89"/>
      <c r="T17" s="87"/>
      <c r="U17" s="87"/>
      <c r="V17" s="88"/>
      <c r="W17" s="89"/>
      <c r="X17" s="87"/>
      <c r="Y17" s="87"/>
      <c r="Z17" s="88"/>
      <c r="AA17" s="89"/>
      <c r="AB17" s="87"/>
      <c r="AC17" s="87"/>
      <c r="AD17" s="88"/>
      <c r="AE17" s="188">
        <f>Quiosque!I19*6</f>
        <v>7824.0180000000009</v>
      </c>
      <c r="AF17" s="190">
        <f t="shared" ref="AF17" si="1">IFERROR(AE17/AE$11,"")</f>
        <v>6.8608502963765416E-2</v>
      </c>
    </row>
    <row r="18" spans="1:32" s="83" customFormat="1">
      <c r="A18" s="185"/>
      <c r="B18" s="187"/>
      <c r="C18" s="192">
        <v>2000</v>
      </c>
      <c r="D18" s="193"/>
      <c r="E18" s="193"/>
      <c r="F18" s="194"/>
      <c r="G18" s="192">
        <f>AE17-C18</f>
        <v>5824.0180000000009</v>
      </c>
      <c r="H18" s="193"/>
      <c r="I18" s="193"/>
      <c r="J18" s="194"/>
      <c r="K18" s="192"/>
      <c r="L18" s="193"/>
      <c r="M18" s="193"/>
      <c r="N18" s="194"/>
      <c r="O18" s="192"/>
      <c r="P18" s="193"/>
      <c r="Q18" s="193"/>
      <c r="R18" s="194"/>
      <c r="S18" s="192"/>
      <c r="T18" s="193"/>
      <c r="U18" s="193"/>
      <c r="V18" s="194"/>
      <c r="W18" s="192"/>
      <c r="X18" s="193"/>
      <c r="Y18" s="193"/>
      <c r="Z18" s="194"/>
      <c r="AA18" s="192"/>
      <c r="AB18" s="193"/>
      <c r="AC18" s="193"/>
      <c r="AD18" s="194"/>
      <c r="AE18" s="189"/>
      <c r="AF18" s="191"/>
    </row>
    <row r="19" spans="1:32" s="83" customFormat="1" ht="7.5" customHeight="1">
      <c r="A19" s="184" t="s">
        <v>38</v>
      </c>
      <c r="B19" s="186" t="str">
        <f>Quiosque!C30</f>
        <v>Cobertura</v>
      </c>
      <c r="C19" s="89"/>
      <c r="D19" s="87"/>
      <c r="E19" s="87"/>
      <c r="F19" s="88"/>
      <c r="G19" s="89"/>
      <c r="H19" s="97"/>
      <c r="I19" s="97"/>
      <c r="J19" s="91"/>
      <c r="K19" s="90"/>
      <c r="L19" s="87"/>
      <c r="M19" s="87"/>
      <c r="N19" s="88"/>
      <c r="O19" s="89"/>
      <c r="P19" s="87"/>
      <c r="Q19" s="87"/>
      <c r="R19" s="88"/>
      <c r="S19" s="89"/>
      <c r="T19" s="87"/>
      <c r="U19" s="87"/>
      <c r="V19" s="88"/>
      <c r="W19" s="89"/>
      <c r="X19" s="87"/>
      <c r="Y19" s="87"/>
      <c r="Z19" s="88"/>
      <c r="AA19" s="89"/>
      <c r="AB19" s="87"/>
      <c r="AC19" s="87"/>
      <c r="AD19" s="88"/>
      <c r="AE19" s="188">
        <f>Quiosque!I30*6</f>
        <v>54893.052000000003</v>
      </c>
      <c r="AF19" s="190">
        <f t="shared" ref="AF19" si="2">IFERROR(AE19/AE$11,"")</f>
        <v>0.48135499187656888</v>
      </c>
    </row>
    <row r="20" spans="1:32" s="83" customFormat="1">
      <c r="A20" s="185"/>
      <c r="B20" s="187"/>
      <c r="C20" s="192"/>
      <c r="D20" s="193"/>
      <c r="E20" s="193"/>
      <c r="F20" s="194"/>
      <c r="G20" s="192">
        <f>AE19</f>
        <v>54893.052000000003</v>
      </c>
      <c r="H20" s="193"/>
      <c r="I20" s="193"/>
      <c r="J20" s="194"/>
      <c r="K20" s="192"/>
      <c r="L20" s="193"/>
      <c r="M20" s="193"/>
      <c r="N20" s="194"/>
      <c r="O20" s="192"/>
      <c r="P20" s="193"/>
      <c r="Q20" s="193"/>
      <c r="R20" s="194"/>
      <c r="S20" s="192"/>
      <c r="T20" s="193"/>
      <c r="U20" s="193"/>
      <c r="V20" s="194"/>
      <c r="W20" s="192"/>
      <c r="X20" s="193"/>
      <c r="Y20" s="193"/>
      <c r="Z20" s="194"/>
      <c r="AA20" s="192"/>
      <c r="AB20" s="193"/>
      <c r="AC20" s="193"/>
      <c r="AD20" s="194"/>
      <c r="AE20" s="189"/>
      <c r="AF20" s="191"/>
    </row>
    <row r="21" spans="1:32" s="83" customFormat="1" ht="7.5" customHeight="1">
      <c r="A21" s="184" t="s">
        <v>39</v>
      </c>
      <c r="B21" s="186" t="str">
        <f>Quiosque!C37</f>
        <v>Piso</v>
      </c>
      <c r="C21" s="89"/>
      <c r="D21" s="87"/>
      <c r="E21" s="87"/>
      <c r="F21" s="88"/>
      <c r="G21" s="89"/>
      <c r="H21" s="87"/>
      <c r="I21" s="97"/>
      <c r="J21" s="91"/>
      <c r="K21" s="90"/>
      <c r="L21" s="97"/>
      <c r="M21" s="87"/>
      <c r="N21" s="88"/>
      <c r="O21" s="89"/>
      <c r="P21" s="87"/>
      <c r="Q21" s="87"/>
      <c r="R21" s="88"/>
      <c r="S21" s="89"/>
      <c r="T21" s="87"/>
      <c r="U21" s="87"/>
      <c r="V21" s="88"/>
      <c r="W21" s="89"/>
      <c r="X21" s="87"/>
      <c r="Y21" s="87"/>
      <c r="Z21" s="88"/>
      <c r="AA21" s="89"/>
      <c r="AB21" s="87"/>
      <c r="AC21" s="87"/>
      <c r="AD21" s="88"/>
      <c r="AE21" s="188">
        <f>Quiosque!I37*6</f>
        <v>38642.506500000003</v>
      </c>
      <c r="AF21" s="190">
        <f>IFERROR(AE21/AE$11,"")</f>
        <v>0.33885460408355073</v>
      </c>
    </row>
    <row r="22" spans="1:32" s="83" customFormat="1">
      <c r="A22" s="185"/>
      <c r="B22" s="187"/>
      <c r="C22" s="192"/>
      <c r="D22" s="193"/>
      <c r="E22" s="193"/>
      <c r="F22" s="194"/>
      <c r="G22" s="192">
        <v>19000</v>
      </c>
      <c r="H22" s="193"/>
      <c r="I22" s="193"/>
      <c r="J22" s="194"/>
      <c r="K22" s="192">
        <f>AE21-G22</f>
        <v>19642.506500000003</v>
      </c>
      <c r="L22" s="193"/>
      <c r="M22" s="193"/>
      <c r="N22" s="194"/>
      <c r="O22" s="192"/>
      <c r="P22" s="193"/>
      <c r="Q22" s="193"/>
      <c r="R22" s="194"/>
      <c r="S22" s="192"/>
      <c r="T22" s="193"/>
      <c r="U22" s="193"/>
      <c r="V22" s="194"/>
      <c r="W22" s="192"/>
      <c r="X22" s="193"/>
      <c r="Y22" s="193"/>
      <c r="Z22" s="194"/>
      <c r="AA22" s="192"/>
      <c r="AB22" s="193"/>
      <c r="AC22" s="193"/>
      <c r="AD22" s="194"/>
      <c r="AE22" s="189"/>
      <c r="AF22" s="191"/>
    </row>
    <row r="23" spans="1:32" s="83" customFormat="1" ht="7.5" customHeight="1">
      <c r="A23" s="184" t="s">
        <v>55</v>
      </c>
      <c r="B23" s="186" t="str">
        <f>Quiosque!C44</f>
        <v>Mobiliario em concreto</v>
      </c>
      <c r="C23" s="89"/>
      <c r="D23" s="87"/>
      <c r="E23" s="87"/>
      <c r="F23" s="88"/>
      <c r="G23" s="89"/>
      <c r="H23" s="87"/>
      <c r="I23" s="87"/>
      <c r="J23" s="91"/>
      <c r="K23" s="90"/>
      <c r="L23" s="97"/>
      <c r="M23" s="97"/>
      <c r="N23" s="88"/>
      <c r="O23" s="89"/>
      <c r="P23" s="87"/>
      <c r="Q23" s="87"/>
      <c r="R23" s="88"/>
      <c r="S23" s="89"/>
      <c r="T23" s="87"/>
      <c r="U23" s="87"/>
      <c r="V23" s="88"/>
      <c r="W23" s="89"/>
      <c r="X23" s="87"/>
      <c r="Y23" s="87"/>
      <c r="Z23" s="88"/>
      <c r="AA23" s="89"/>
      <c r="AB23" s="87"/>
      <c r="AC23" s="87"/>
      <c r="AD23" s="88"/>
      <c r="AE23" s="188">
        <f>Quiosque!I44*6</f>
        <v>13413.255000000001</v>
      </c>
      <c r="AF23" s="190">
        <f t="shared" ref="AF23" si="3">IFERROR(AE23/AE$11,"")</f>
        <v>0.11762030013494872</v>
      </c>
    </row>
    <row r="24" spans="1:32" s="83" customFormat="1">
      <c r="A24" s="185"/>
      <c r="B24" s="187"/>
      <c r="C24" s="192"/>
      <c r="D24" s="193"/>
      <c r="E24" s="193"/>
      <c r="F24" s="194"/>
      <c r="G24" s="192">
        <v>3500</v>
      </c>
      <c r="H24" s="193"/>
      <c r="I24" s="193"/>
      <c r="J24" s="194"/>
      <c r="K24" s="192">
        <f>AE23-G24</f>
        <v>9913.255000000001</v>
      </c>
      <c r="L24" s="193"/>
      <c r="M24" s="193"/>
      <c r="N24" s="194"/>
      <c r="O24" s="192"/>
      <c r="P24" s="193"/>
      <c r="Q24" s="193"/>
      <c r="R24" s="194"/>
      <c r="S24" s="192"/>
      <c r="T24" s="193"/>
      <c r="U24" s="193"/>
      <c r="V24" s="194"/>
      <c r="W24" s="192"/>
      <c r="X24" s="193"/>
      <c r="Y24" s="193"/>
      <c r="Z24" s="194"/>
      <c r="AA24" s="192"/>
      <c r="AB24" s="193"/>
      <c r="AC24" s="193"/>
      <c r="AD24" s="194"/>
      <c r="AE24" s="189"/>
      <c r="AF24" s="191"/>
    </row>
    <row r="25" spans="1:32" s="83" customFormat="1" ht="7.5" customHeight="1">
      <c r="A25" s="184" t="s">
        <v>61</v>
      </c>
      <c r="B25" s="186" t="str">
        <f>Quiosque!C53</f>
        <v>Recomposição de áreas</v>
      </c>
      <c r="C25" s="89"/>
      <c r="D25" s="87"/>
      <c r="E25" s="87"/>
      <c r="F25" s="88"/>
      <c r="G25" s="89"/>
      <c r="H25" s="87"/>
      <c r="I25" s="87"/>
      <c r="J25" s="88"/>
      <c r="K25" s="89"/>
      <c r="L25" s="87"/>
      <c r="M25" s="97"/>
      <c r="N25" s="91"/>
      <c r="O25" s="89"/>
      <c r="P25" s="87"/>
      <c r="Q25" s="87"/>
      <c r="R25" s="88"/>
      <c r="S25" s="89"/>
      <c r="T25" s="87"/>
      <c r="U25" s="87"/>
      <c r="V25" s="88"/>
      <c r="W25" s="89"/>
      <c r="X25" s="87"/>
      <c r="Y25" s="87"/>
      <c r="Z25" s="88"/>
      <c r="AA25" s="89"/>
      <c r="AB25" s="87"/>
      <c r="AC25" s="87"/>
      <c r="AD25" s="88"/>
      <c r="AE25" s="188">
        <f>Quiosque!I53*6</f>
        <v>11885.400000000001</v>
      </c>
      <c r="AF25" s="190">
        <f t="shared" ref="AF25" si="4">IFERROR(AE25/AE$11,"")</f>
        <v>0.10422260034748609</v>
      </c>
    </row>
    <row r="26" spans="1:32" s="83" customFormat="1">
      <c r="A26" s="185"/>
      <c r="B26" s="187"/>
      <c r="C26" s="192"/>
      <c r="D26" s="193"/>
      <c r="E26" s="193"/>
      <c r="F26" s="194"/>
      <c r="G26" s="192"/>
      <c r="H26" s="193"/>
      <c r="I26" s="193"/>
      <c r="J26" s="194"/>
      <c r="K26" s="192">
        <f>AE25</f>
        <v>11885.400000000001</v>
      </c>
      <c r="L26" s="193"/>
      <c r="M26" s="193"/>
      <c r="N26" s="194"/>
      <c r="O26" s="192"/>
      <c r="P26" s="193"/>
      <c r="Q26" s="193"/>
      <c r="R26" s="194"/>
      <c r="S26" s="192"/>
      <c r="T26" s="193"/>
      <c r="U26" s="193"/>
      <c r="V26" s="194"/>
      <c r="W26" s="192"/>
      <c r="X26" s="193"/>
      <c r="Y26" s="193"/>
      <c r="Z26" s="194"/>
      <c r="AA26" s="192"/>
      <c r="AB26" s="193"/>
      <c r="AC26" s="193"/>
      <c r="AD26" s="194"/>
      <c r="AE26" s="189"/>
      <c r="AF26" s="191"/>
    </row>
    <row r="27" spans="1:32" s="83" customFormat="1" ht="7.5" customHeight="1">
      <c r="A27" s="166">
        <v>4</v>
      </c>
      <c r="B27" s="168" t="str">
        <f>Resumo!B9</f>
        <v>Playground</v>
      </c>
      <c r="C27" s="84"/>
      <c r="D27" s="85"/>
      <c r="E27" s="85"/>
      <c r="F27" s="86"/>
      <c r="G27" s="84"/>
      <c r="H27" s="85"/>
      <c r="I27" s="85"/>
      <c r="J27" s="86"/>
      <c r="K27" s="84"/>
      <c r="L27" s="85"/>
      <c r="M27" s="85"/>
      <c r="N27" s="86"/>
      <c r="O27" s="84"/>
      <c r="P27" s="85"/>
      <c r="Q27" s="85"/>
      <c r="R27" s="86"/>
      <c r="S27" s="84"/>
      <c r="T27" s="85"/>
      <c r="U27" s="85"/>
      <c r="V27" s="86"/>
      <c r="W27" s="84"/>
      <c r="X27" s="85"/>
      <c r="Y27" s="85"/>
      <c r="Z27" s="86"/>
      <c r="AA27" s="84"/>
      <c r="AB27" s="85"/>
      <c r="AC27" s="85"/>
      <c r="AD27" s="86"/>
      <c r="AE27" s="170">
        <f>Resumo!C9</f>
        <v>34809.9</v>
      </c>
      <c r="AF27" s="172">
        <f>AE27/AE$40</f>
        <v>0.21770946099198271</v>
      </c>
    </row>
    <row r="28" spans="1:32" s="83" customFormat="1" ht="14.25">
      <c r="A28" s="167"/>
      <c r="B28" s="169"/>
      <c r="C28" s="174">
        <f>IFERROR(SUM(C29:F38)/$AE27,"")</f>
        <v>0.57451759413270365</v>
      </c>
      <c r="D28" s="175"/>
      <c r="E28" s="175"/>
      <c r="F28" s="176"/>
      <c r="G28" s="174">
        <f>IFERROR(SUM(G29:J38)/$AE27,"")</f>
        <v>0</v>
      </c>
      <c r="H28" s="175"/>
      <c r="I28" s="175"/>
      <c r="J28" s="176"/>
      <c r="K28" s="174">
        <f>IFERROR(SUM(K29:N38)/$AE27,"")</f>
        <v>0.42548240586729635</v>
      </c>
      <c r="L28" s="175"/>
      <c r="M28" s="175"/>
      <c r="N28" s="176"/>
      <c r="O28" s="174">
        <f t="shared" ref="O28" si="5">IFERROR(SUM(O29:R36)/$AE27,"")</f>
        <v>0</v>
      </c>
      <c r="P28" s="175"/>
      <c r="Q28" s="175"/>
      <c r="R28" s="176"/>
      <c r="S28" s="174">
        <f t="shared" ref="S28" si="6">IFERROR(SUM(S29:V36)/$AE27,"")</f>
        <v>0</v>
      </c>
      <c r="T28" s="175"/>
      <c r="U28" s="175"/>
      <c r="V28" s="176"/>
      <c r="W28" s="174">
        <f t="shared" ref="W28" si="7">IFERROR(SUM(W29:Z36)/$AE27,"")</f>
        <v>0</v>
      </c>
      <c r="X28" s="175"/>
      <c r="Y28" s="175"/>
      <c r="Z28" s="176"/>
      <c r="AA28" s="174">
        <f t="shared" ref="AA28" si="8">IFERROR(SUM(AA29:AD36)/$AE27,"")</f>
        <v>0</v>
      </c>
      <c r="AB28" s="175"/>
      <c r="AC28" s="175"/>
      <c r="AD28" s="176"/>
      <c r="AE28" s="171"/>
      <c r="AF28" s="173"/>
    </row>
    <row r="29" spans="1:32" s="83" customFormat="1">
      <c r="A29" s="195" t="s">
        <v>40</v>
      </c>
      <c r="B29" s="197" t="str">
        <f>Playground!C3</f>
        <v>Centro de atividades em eucalipto autoclavado (2,90m X 7,50m x 6,50m) com mão de obra inclusa.</v>
      </c>
      <c r="C29" s="89"/>
      <c r="D29" s="87"/>
      <c r="E29" s="87"/>
      <c r="F29" s="91"/>
      <c r="G29" s="89"/>
      <c r="H29" s="87"/>
      <c r="I29" s="87"/>
      <c r="J29" s="88"/>
      <c r="K29" s="89"/>
      <c r="L29" s="87"/>
      <c r="M29" s="87"/>
      <c r="N29" s="88"/>
      <c r="O29" s="89"/>
      <c r="P29" s="87"/>
      <c r="Q29" s="87"/>
      <c r="R29" s="88"/>
      <c r="S29" s="89"/>
      <c r="T29" s="87"/>
      <c r="U29" s="87"/>
      <c r="V29" s="88"/>
      <c r="W29" s="89"/>
      <c r="X29" s="87"/>
      <c r="Y29" s="87"/>
      <c r="Z29" s="88"/>
      <c r="AA29" s="89"/>
      <c r="AB29" s="87"/>
      <c r="AC29" s="87"/>
      <c r="AD29" s="88"/>
      <c r="AE29" s="188">
        <f>Playground!I3</f>
        <v>11726.6</v>
      </c>
      <c r="AF29" s="190">
        <f>IFERROR(AE29/AE$11,"")</f>
        <v>0.10283008945721897</v>
      </c>
    </row>
    <row r="30" spans="1:32" s="83" customFormat="1">
      <c r="A30" s="196"/>
      <c r="B30" s="198"/>
      <c r="C30" s="192">
        <f>AE29</f>
        <v>11726.6</v>
      </c>
      <c r="D30" s="193"/>
      <c r="E30" s="193"/>
      <c r="F30" s="194"/>
      <c r="G30" s="192"/>
      <c r="H30" s="193"/>
      <c r="I30" s="193"/>
      <c r="J30" s="194"/>
      <c r="K30" s="192"/>
      <c r="L30" s="193"/>
      <c r="M30" s="193"/>
      <c r="N30" s="194"/>
      <c r="O30" s="192"/>
      <c r="P30" s="193"/>
      <c r="Q30" s="193"/>
      <c r="R30" s="194"/>
      <c r="S30" s="192"/>
      <c r="T30" s="193"/>
      <c r="U30" s="193"/>
      <c r="V30" s="194"/>
      <c r="W30" s="192"/>
      <c r="X30" s="193"/>
      <c r="Y30" s="193"/>
      <c r="Z30" s="194"/>
      <c r="AA30" s="192"/>
      <c r="AB30" s="193"/>
      <c r="AC30" s="193"/>
      <c r="AD30" s="194"/>
      <c r="AE30" s="189"/>
      <c r="AF30" s="191"/>
    </row>
    <row r="31" spans="1:32" s="83" customFormat="1">
      <c r="A31" s="195" t="s">
        <v>41</v>
      </c>
      <c r="B31" s="197" t="str">
        <f>Playground!C4</f>
        <v>Gira-gira metálico tubular com acabamento em pintura eletrostática (2,90m x 5,50m x 3,50m) com mão de obra inclusa.</v>
      </c>
      <c r="C31" s="89"/>
      <c r="D31" s="87"/>
      <c r="E31" s="87"/>
      <c r="F31" s="91"/>
      <c r="G31" s="89"/>
      <c r="H31" s="87"/>
      <c r="I31" s="87"/>
      <c r="J31" s="88"/>
      <c r="K31" s="89"/>
      <c r="L31" s="87"/>
      <c r="M31" s="87"/>
      <c r="N31" s="88"/>
      <c r="O31" s="89"/>
      <c r="P31" s="87"/>
      <c r="Q31" s="87"/>
      <c r="R31" s="88"/>
      <c r="S31" s="89"/>
      <c r="T31" s="87"/>
      <c r="U31" s="87"/>
      <c r="V31" s="88"/>
      <c r="W31" s="89"/>
      <c r="X31" s="87"/>
      <c r="Y31" s="87"/>
      <c r="Z31" s="88"/>
      <c r="AA31" s="89"/>
      <c r="AB31" s="87"/>
      <c r="AC31" s="87"/>
      <c r="AD31" s="88"/>
      <c r="AE31" s="188">
        <f>Playground!I4</f>
        <v>2476.3000000000002</v>
      </c>
      <c r="AF31" s="190">
        <f t="shared" ref="AF31" si="9">IFERROR(AE31/AE$11,"")</f>
        <v>2.171457630710618E-2</v>
      </c>
    </row>
    <row r="32" spans="1:32" s="83" customFormat="1">
      <c r="A32" s="196"/>
      <c r="B32" s="198"/>
      <c r="C32" s="192">
        <f>AE31</f>
        <v>2476.3000000000002</v>
      </c>
      <c r="D32" s="193"/>
      <c r="E32" s="193"/>
      <c r="F32" s="194"/>
      <c r="G32" s="192"/>
      <c r="H32" s="193"/>
      <c r="I32" s="193"/>
      <c r="J32" s="194"/>
      <c r="K32" s="192"/>
      <c r="L32" s="193"/>
      <c r="M32" s="193"/>
      <c r="N32" s="194"/>
      <c r="O32" s="192"/>
      <c r="P32" s="193"/>
      <c r="Q32" s="193"/>
      <c r="R32" s="194"/>
      <c r="S32" s="192"/>
      <c r="T32" s="193"/>
      <c r="U32" s="193"/>
      <c r="V32" s="194"/>
      <c r="W32" s="192"/>
      <c r="X32" s="193"/>
      <c r="Y32" s="193"/>
      <c r="Z32" s="194"/>
      <c r="AA32" s="192"/>
      <c r="AB32" s="193"/>
      <c r="AC32" s="193"/>
      <c r="AD32" s="194"/>
      <c r="AE32" s="189"/>
      <c r="AF32" s="191"/>
    </row>
    <row r="33" spans="1:32" s="83" customFormat="1">
      <c r="A33" s="195" t="s">
        <v>42</v>
      </c>
      <c r="B33" s="197" t="str">
        <f>Playground!C5</f>
        <v>Gangorra duas pranchas em eucalipto (0,50m 1,0m x 2,50m) com mão de obra inclusa</v>
      </c>
      <c r="C33" s="89"/>
      <c r="D33" s="87"/>
      <c r="E33" s="87"/>
      <c r="F33" s="91"/>
      <c r="G33" s="89"/>
      <c r="H33" s="87"/>
      <c r="I33" s="87"/>
      <c r="J33" s="88"/>
      <c r="K33" s="89"/>
      <c r="L33" s="87"/>
      <c r="M33" s="87"/>
      <c r="N33" s="88"/>
      <c r="O33" s="89"/>
      <c r="P33" s="87"/>
      <c r="Q33" s="87"/>
      <c r="R33" s="88"/>
      <c r="S33" s="89"/>
      <c r="T33" s="87"/>
      <c r="U33" s="87"/>
      <c r="V33" s="88"/>
      <c r="W33" s="89"/>
      <c r="X33" s="87"/>
      <c r="Y33" s="87"/>
      <c r="Z33" s="88"/>
      <c r="AA33" s="89"/>
      <c r="AB33" s="87"/>
      <c r="AC33" s="87"/>
      <c r="AD33" s="88"/>
      <c r="AE33" s="188">
        <f>Playground!I5</f>
        <v>2796</v>
      </c>
      <c r="AF33" s="190">
        <f t="shared" ref="AF33" si="10">IFERROR(AE33/AE$11,"")</f>
        <v>2.451801290419936E-2</v>
      </c>
    </row>
    <row r="34" spans="1:32" s="83" customFormat="1">
      <c r="A34" s="196"/>
      <c r="B34" s="198"/>
      <c r="C34" s="192">
        <f>AE33</f>
        <v>2796</v>
      </c>
      <c r="D34" s="193"/>
      <c r="E34" s="193"/>
      <c r="F34" s="194"/>
      <c r="G34" s="192"/>
      <c r="H34" s="193"/>
      <c r="I34" s="193"/>
      <c r="J34" s="194"/>
      <c r="K34" s="192"/>
      <c r="L34" s="193"/>
      <c r="M34" s="193"/>
      <c r="N34" s="194"/>
      <c r="O34" s="192"/>
      <c r="P34" s="193"/>
      <c r="Q34" s="193"/>
      <c r="R34" s="194"/>
      <c r="S34" s="192"/>
      <c r="T34" s="193"/>
      <c r="U34" s="193"/>
      <c r="V34" s="194"/>
      <c r="W34" s="192"/>
      <c r="X34" s="193"/>
      <c r="Y34" s="193"/>
      <c r="Z34" s="194"/>
      <c r="AA34" s="192"/>
      <c r="AB34" s="193"/>
      <c r="AC34" s="193"/>
      <c r="AD34" s="194"/>
      <c r="AE34" s="189"/>
      <c r="AF34" s="191"/>
    </row>
    <row r="35" spans="1:32" s="83" customFormat="1">
      <c r="A35" s="195" t="s">
        <v>43</v>
      </c>
      <c r="B35" s="197" t="str">
        <f>Playground!C6</f>
        <v>Balanço duplo dois lugares (2,20m x 1,80m x 2,50m)</v>
      </c>
      <c r="C35" s="89"/>
      <c r="D35" s="87"/>
      <c r="E35" s="87"/>
      <c r="F35" s="91"/>
      <c r="G35" s="89"/>
      <c r="H35" s="87"/>
      <c r="I35" s="87"/>
      <c r="J35" s="88"/>
      <c r="K35" s="89"/>
      <c r="L35" s="87"/>
      <c r="M35" s="87"/>
      <c r="N35" s="88"/>
      <c r="O35" s="89"/>
      <c r="P35" s="87"/>
      <c r="Q35" s="87"/>
      <c r="R35" s="88"/>
      <c r="S35" s="89"/>
      <c r="T35" s="87"/>
      <c r="U35" s="87"/>
      <c r="V35" s="88"/>
      <c r="W35" s="89"/>
      <c r="X35" s="87"/>
      <c r="Y35" s="87"/>
      <c r="Z35" s="88"/>
      <c r="AA35" s="89"/>
      <c r="AB35" s="87"/>
      <c r="AC35" s="87"/>
      <c r="AD35" s="88"/>
      <c r="AE35" s="188">
        <f>Playground!I6</f>
        <v>3000</v>
      </c>
      <c r="AF35" s="190">
        <f t="shared" ref="AF35" si="11">IFERROR(AE35/AE$11,"")</f>
        <v>2.6306880798497169E-2</v>
      </c>
    </row>
    <row r="36" spans="1:32" s="83" customFormat="1">
      <c r="A36" s="196"/>
      <c r="B36" s="198"/>
      <c r="C36" s="192">
        <f>AE35</f>
        <v>3000</v>
      </c>
      <c r="D36" s="193"/>
      <c r="E36" s="193"/>
      <c r="F36" s="194"/>
      <c r="G36" s="192"/>
      <c r="H36" s="193"/>
      <c r="I36" s="193"/>
      <c r="J36" s="194"/>
      <c r="K36" s="192"/>
      <c r="L36" s="193"/>
      <c r="M36" s="193"/>
      <c r="N36" s="194"/>
      <c r="O36" s="192"/>
      <c r="P36" s="193"/>
      <c r="Q36" s="193"/>
      <c r="R36" s="194"/>
      <c r="S36" s="192"/>
      <c r="T36" s="193"/>
      <c r="U36" s="193"/>
      <c r="V36" s="194"/>
      <c r="W36" s="192"/>
      <c r="X36" s="193"/>
      <c r="Y36" s="193"/>
      <c r="Z36" s="194"/>
      <c r="AA36" s="192"/>
      <c r="AB36" s="193"/>
      <c r="AC36" s="193"/>
      <c r="AD36" s="194"/>
      <c r="AE36" s="189"/>
      <c r="AF36" s="191"/>
    </row>
    <row r="37" spans="1:32" s="83" customFormat="1" ht="7.5" customHeight="1">
      <c r="A37" s="184" t="s">
        <v>44</v>
      </c>
      <c r="B37" s="186" t="str">
        <f>Playground!C7</f>
        <v>Banco rúistico em madeira (1,0m 0,80m 1,50m)</v>
      </c>
      <c r="C37" s="89"/>
      <c r="D37" s="87"/>
      <c r="E37" s="87"/>
      <c r="F37" s="88"/>
      <c r="G37" s="89"/>
      <c r="H37" s="87"/>
      <c r="I37" s="87"/>
      <c r="J37" s="88"/>
      <c r="K37" s="90"/>
      <c r="L37" s="97"/>
      <c r="M37" s="97"/>
      <c r="N37" s="91"/>
      <c r="O37" s="89"/>
      <c r="P37" s="87"/>
      <c r="Q37" s="87"/>
      <c r="R37" s="88"/>
      <c r="S37" s="89"/>
      <c r="T37" s="87"/>
      <c r="U37" s="87"/>
      <c r="V37" s="88"/>
      <c r="W37" s="89"/>
      <c r="X37" s="87"/>
      <c r="Y37" s="87"/>
      <c r="Z37" s="88"/>
      <c r="AA37" s="89"/>
      <c r="AB37" s="87"/>
      <c r="AC37" s="87"/>
      <c r="AD37" s="88"/>
      <c r="AE37" s="188">
        <f>Playground!I7</f>
        <v>14811</v>
      </c>
      <c r="AF37" s="190">
        <f t="shared" ref="AF37" si="12">IFERROR(AE37/AE$11,"")</f>
        <v>0.12987707050218053</v>
      </c>
    </row>
    <row r="38" spans="1:32" s="83" customFormat="1">
      <c r="A38" s="185"/>
      <c r="B38" s="187"/>
      <c r="C38" s="192"/>
      <c r="D38" s="193"/>
      <c r="E38" s="193"/>
      <c r="F38" s="194"/>
      <c r="G38" s="192"/>
      <c r="H38" s="193"/>
      <c r="I38" s="193"/>
      <c r="J38" s="194"/>
      <c r="K38" s="192">
        <f>AE37</f>
        <v>14811</v>
      </c>
      <c r="L38" s="193"/>
      <c r="M38" s="193"/>
      <c r="N38" s="194"/>
      <c r="O38" s="192"/>
      <c r="P38" s="193"/>
      <c r="Q38" s="193"/>
      <c r="R38" s="194"/>
      <c r="S38" s="192"/>
      <c r="T38" s="193"/>
      <c r="U38" s="193"/>
      <c r="V38" s="194"/>
      <c r="W38" s="192"/>
      <c r="X38" s="193"/>
      <c r="Y38" s="193"/>
      <c r="Z38" s="194"/>
      <c r="AA38" s="192"/>
      <c r="AB38" s="193"/>
      <c r="AC38" s="193"/>
      <c r="AD38" s="194"/>
      <c r="AE38" s="189"/>
      <c r="AF38" s="191"/>
    </row>
    <row r="39" spans="1:32" s="83" customFormat="1" ht="9.9499999999999993" customHeight="1" thickBot="1">
      <c r="A39" s="115"/>
      <c r="B39" s="116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8"/>
      <c r="AF39" s="119"/>
    </row>
    <row r="40" spans="1:32" s="83" customFormat="1" ht="14.25">
      <c r="A40" s="199" t="s">
        <v>165</v>
      </c>
      <c r="B40" s="200"/>
      <c r="C40" s="201">
        <f>SUM(C6:F10)+SUM(C13:F26)+SUM(C29:F38)</f>
        <v>32888.81</v>
      </c>
      <c r="D40" s="202"/>
      <c r="E40" s="202"/>
      <c r="F40" s="202"/>
      <c r="G40" s="201">
        <f>SUM(G6:J10)+SUM(G13:J26)+SUM(G29:J38)</f>
        <v>88525.165040000007</v>
      </c>
      <c r="H40" s="202"/>
      <c r="I40" s="202"/>
      <c r="J40" s="202"/>
      <c r="K40" s="201">
        <f>SUM(K6:N10)+SUM(K13:N26)+SUM(K29:N38)</f>
        <v>61285.281500000005</v>
      </c>
      <c r="L40" s="202"/>
      <c r="M40" s="202"/>
      <c r="N40" s="202"/>
      <c r="O40" s="201">
        <f>SUM(O6:R10)+SUM(O13:R20)+SUM(O29:R36)</f>
        <v>0</v>
      </c>
      <c r="P40" s="202"/>
      <c r="Q40" s="202"/>
      <c r="R40" s="202"/>
      <c r="S40" s="201">
        <f>SUM(S6:V10)+SUM(S13:V20)+SUM(S29:V36)</f>
        <v>0</v>
      </c>
      <c r="T40" s="202"/>
      <c r="U40" s="202"/>
      <c r="V40" s="202"/>
      <c r="W40" s="201">
        <f>SUM(W6:Z10)+SUM(W13:Z20)+SUM(W29:Z36)</f>
        <v>0</v>
      </c>
      <c r="X40" s="202"/>
      <c r="Y40" s="202"/>
      <c r="Z40" s="202"/>
      <c r="AA40" s="201">
        <f>SUM(AA6:AD10)+SUM(AA13:AD20)+SUM(AA29:AD36)</f>
        <v>0</v>
      </c>
      <c r="AB40" s="202"/>
      <c r="AC40" s="202"/>
      <c r="AD40" s="202"/>
      <c r="AE40" s="120">
        <f>AE3+AE11+AE27</f>
        <v>159891.53545000002</v>
      </c>
      <c r="AF40" s="121"/>
    </row>
    <row r="41" spans="1:32" s="83" customFormat="1" ht="14.25">
      <c r="A41" s="214" t="s">
        <v>166</v>
      </c>
      <c r="B41" s="215"/>
      <c r="C41" s="212">
        <f>C40*0.1</f>
        <v>3288.8809999999999</v>
      </c>
      <c r="D41" s="213"/>
      <c r="E41" s="213"/>
      <c r="F41" s="213"/>
      <c r="G41" s="212">
        <f t="shared" ref="G41" si="13">G40*0.1</f>
        <v>8852.5165040000011</v>
      </c>
      <c r="H41" s="213"/>
      <c r="I41" s="213"/>
      <c r="J41" s="213"/>
      <c r="K41" s="212">
        <f t="shared" ref="K41" si="14">K40*0.1</f>
        <v>6128.528150000001</v>
      </c>
      <c r="L41" s="213"/>
      <c r="M41" s="213"/>
      <c r="N41" s="213"/>
      <c r="O41" s="212">
        <f t="shared" ref="O41" si="15">O40*0.1</f>
        <v>0</v>
      </c>
      <c r="P41" s="213"/>
      <c r="Q41" s="213"/>
      <c r="R41" s="213"/>
      <c r="S41" s="212">
        <f t="shared" ref="S41" si="16">S40*0.1</f>
        <v>0</v>
      </c>
      <c r="T41" s="213"/>
      <c r="U41" s="213"/>
      <c r="V41" s="213"/>
      <c r="W41" s="212">
        <f t="shared" ref="W41" si="17">W40*0.1</f>
        <v>0</v>
      </c>
      <c r="X41" s="213"/>
      <c r="Y41" s="213"/>
      <c r="Z41" s="213"/>
      <c r="AA41" s="212">
        <f t="shared" ref="AA41" si="18">AA40*0.1</f>
        <v>0</v>
      </c>
      <c r="AB41" s="213"/>
      <c r="AC41" s="213"/>
      <c r="AD41" s="213"/>
      <c r="AE41" s="92">
        <f>AE40*0.1</f>
        <v>15989.153545000003</v>
      </c>
      <c r="AF41" s="122"/>
    </row>
    <row r="42" spans="1:32" s="83" customFormat="1" ht="14.25">
      <c r="A42" s="214" t="s">
        <v>170</v>
      </c>
      <c r="B42" s="215"/>
      <c r="C42" s="212">
        <f>(C41+C40)*0.3</f>
        <v>10853.307299999999</v>
      </c>
      <c r="D42" s="213"/>
      <c r="E42" s="213"/>
      <c r="F42" s="213"/>
      <c r="G42" s="212">
        <f t="shared" ref="G42" si="19">(G41+G40)*0.3</f>
        <v>29213.304463200002</v>
      </c>
      <c r="H42" s="213"/>
      <c r="I42" s="213"/>
      <c r="J42" s="213"/>
      <c r="K42" s="212">
        <f t="shared" ref="K42" si="20">(K41+K40)*0.3</f>
        <v>20224.142895000001</v>
      </c>
      <c r="L42" s="213"/>
      <c r="M42" s="213"/>
      <c r="N42" s="213"/>
      <c r="O42" s="212">
        <f t="shared" ref="O42" si="21">(O41+O40)*0.3</f>
        <v>0</v>
      </c>
      <c r="P42" s="213"/>
      <c r="Q42" s="213"/>
      <c r="R42" s="213"/>
      <c r="S42" s="212">
        <f t="shared" ref="S42" si="22">(S41+S40)*0.3</f>
        <v>0</v>
      </c>
      <c r="T42" s="213"/>
      <c r="U42" s="213"/>
      <c r="V42" s="213"/>
      <c r="W42" s="212">
        <f t="shared" ref="W42" si="23">(W41+W40)*0.3</f>
        <v>0</v>
      </c>
      <c r="X42" s="213"/>
      <c r="Y42" s="213"/>
      <c r="Z42" s="213"/>
      <c r="AA42" s="212">
        <f t="shared" ref="AA42" si="24">(AA41+AA40)*0.3</f>
        <v>0</v>
      </c>
      <c r="AB42" s="213"/>
      <c r="AC42" s="213"/>
      <c r="AD42" s="213"/>
      <c r="AE42" s="92">
        <f>(AE41+AE40)*0.3</f>
        <v>52764.206698500006</v>
      </c>
      <c r="AF42" s="122"/>
    </row>
    <row r="43" spans="1:32" s="83" customFormat="1" ht="15.75" thickBot="1">
      <c r="A43" s="203" t="s">
        <v>167</v>
      </c>
      <c r="B43" s="204"/>
      <c r="C43" s="205">
        <f>SUM(C40:F42)</f>
        <v>47030.998299999999</v>
      </c>
      <c r="D43" s="205"/>
      <c r="E43" s="205"/>
      <c r="F43" s="205"/>
      <c r="G43" s="205">
        <f t="shared" ref="G43" si="25">SUM(G40:J42)</f>
        <v>126590.9860072</v>
      </c>
      <c r="H43" s="205"/>
      <c r="I43" s="205"/>
      <c r="J43" s="205"/>
      <c r="K43" s="205">
        <f t="shared" ref="K43" si="26">SUM(K40:N42)</f>
        <v>87637.952545000007</v>
      </c>
      <c r="L43" s="205"/>
      <c r="M43" s="205"/>
      <c r="N43" s="205"/>
      <c r="O43" s="205">
        <f t="shared" ref="O43" si="27">SUM(O40:R42)</f>
        <v>0</v>
      </c>
      <c r="P43" s="205"/>
      <c r="Q43" s="205"/>
      <c r="R43" s="205"/>
      <c r="S43" s="205">
        <f t="shared" ref="S43" si="28">SUM(S40:V42)</f>
        <v>0</v>
      </c>
      <c r="T43" s="205"/>
      <c r="U43" s="205"/>
      <c r="V43" s="205"/>
      <c r="W43" s="205">
        <f t="shared" ref="W43" si="29">SUM(W40:Z42)</f>
        <v>0</v>
      </c>
      <c r="X43" s="205"/>
      <c r="Y43" s="205"/>
      <c r="Z43" s="205"/>
      <c r="AA43" s="205">
        <f t="shared" ref="AA43" si="30">SUM(AA40:AD42)</f>
        <v>0</v>
      </c>
      <c r="AB43" s="205"/>
      <c r="AC43" s="205"/>
      <c r="AD43" s="205"/>
      <c r="AE43" s="123">
        <f>SUM(AE40:AE42)</f>
        <v>228644.89569350003</v>
      </c>
      <c r="AF43" s="114"/>
    </row>
    <row r="44" spans="1:32" s="83" customFormat="1" ht="9.9499999999999993" customHeight="1" thickBot="1">
      <c r="A44" s="93"/>
      <c r="AE44" s="94"/>
      <c r="AF44" s="95"/>
    </row>
    <row r="45" spans="1:32" s="83" customFormat="1" ht="14.25">
      <c r="A45" s="206" t="s">
        <v>168</v>
      </c>
      <c r="B45" s="207"/>
      <c r="C45" s="208"/>
      <c r="D45" s="208"/>
      <c r="E45" s="208"/>
      <c r="F45" s="208"/>
      <c r="G45" s="209"/>
      <c r="H45" s="210"/>
      <c r="I45" s="210"/>
      <c r="J45" s="211"/>
      <c r="K45" s="209"/>
      <c r="L45" s="210"/>
      <c r="M45" s="210"/>
      <c r="N45" s="211"/>
      <c r="O45" s="209"/>
      <c r="P45" s="210"/>
      <c r="Q45" s="210"/>
      <c r="R45" s="211"/>
      <c r="S45" s="209"/>
      <c r="T45" s="210"/>
      <c r="U45" s="210"/>
      <c r="V45" s="211"/>
      <c r="W45" s="209"/>
      <c r="X45" s="210"/>
      <c r="Y45" s="210"/>
      <c r="Z45" s="211"/>
      <c r="AA45" s="209"/>
      <c r="AB45" s="210"/>
      <c r="AC45" s="210"/>
      <c r="AD45" s="211"/>
      <c r="AE45" s="120"/>
      <c r="AF45" s="124"/>
    </row>
    <row r="46" spans="1:32" s="83" customFormat="1" ht="30" customHeight="1" thickBot="1">
      <c r="A46" s="203" t="s">
        <v>169</v>
      </c>
      <c r="B46" s="204"/>
      <c r="C46" s="205">
        <f>C45+C43</f>
        <v>47030.998299999999</v>
      </c>
      <c r="D46" s="205"/>
      <c r="E46" s="205"/>
      <c r="F46" s="205"/>
      <c r="G46" s="205">
        <f>G43+G45</f>
        <v>126590.9860072</v>
      </c>
      <c r="H46" s="205"/>
      <c r="I46" s="205"/>
      <c r="J46" s="205"/>
      <c r="K46" s="205">
        <f>K43+K45</f>
        <v>87637.952545000007</v>
      </c>
      <c r="L46" s="205"/>
      <c r="M46" s="205"/>
      <c r="N46" s="205"/>
      <c r="O46" s="205">
        <f>O43+O45</f>
        <v>0</v>
      </c>
      <c r="P46" s="205"/>
      <c r="Q46" s="205"/>
      <c r="R46" s="205"/>
      <c r="S46" s="205">
        <f>S43+S45</f>
        <v>0</v>
      </c>
      <c r="T46" s="205"/>
      <c r="U46" s="205"/>
      <c r="V46" s="205"/>
      <c r="W46" s="205">
        <f>W43+W45</f>
        <v>0</v>
      </c>
      <c r="X46" s="205"/>
      <c r="Y46" s="205"/>
      <c r="Z46" s="205"/>
      <c r="AA46" s="205">
        <f>AA43+AA45</f>
        <v>0</v>
      </c>
      <c r="AB46" s="205"/>
      <c r="AC46" s="205"/>
      <c r="AD46" s="205"/>
      <c r="AE46" s="123">
        <f>AE43+AE45</f>
        <v>228644.89569350003</v>
      </c>
      <c r="AF46" s="114"/>
    </row>
    <row r="53" spans="31:31">
      <c r="AE53" s="96"/>
    </row>
  </sheetData>
  <mergeCells count="257">
    <mergeCell ref="S26:V26"/>
    <mergeCell ref="W26:Z26"/>
    <mergeCell ref="AA26:AD26"/>
    <mergeCell ref="W24:Z24"/>
    <mergeCell ref="AA24:AD24"/>
    <mergeCell ref="A25:A26"/>
    <mergeCell ref="B25:B26"/>
    <mergeCell ref="AE25:AE26"/>
    <mergeCell ref="AF25:AF26"/>
    <mergeCell ref="C26:F26"/>
    <mergeCell ref="G26:J26"/>
    <mergeCell ref="K26:N26"/>
    <mergeCell ref="O26:R26"/>
    <mergeCell ref="AF23:AF24"/>
    <mergeCell ref="C24:F24"/>
    <mergeCell ref="G24:J24"/>
    <mergeCell ref="K24:N24"/>
    <mergeCell ref="O24:R24"/>
    <mergeCell ref="S24:V24"/>
    <mergeCell ref="A21:A22"/>
    <mergeCell ref="B21:B22"/>
    <mergeCell ref="AE21:AE22"/>
    <mergeCell ref="AF21:AF22"/>
    <mergeCell ref="C22:F22"/>
    <mergeCell ref="G22:J22"/>
    <mergeCell ref="K22:N22"/>
    <mergeCell ref="O22:R22"/>
    <mergeCell ref="S22:V22"/>
    <mergeCell ref="W22:Z22"/>
    <mergeCell ref="W46:Z46"/>
    <mergeCell ref="AA46:AD46"/>
    <mergeCell ref="A37:A38"/>
    <mergeCell ref="B37:B38"/>
    <mergeCell ref="G43:J43"/>
    <mergeCell ref="K43:N43"/>
    <mergeCell ref="O43:R43"/>
    <mergeCell ref="S43:V43"/>
    <mergeCell ref="W41:Z41"/>
    <mergeCell ref="AA41:AD41"/>
    <mergeCell ref="A42:B42"/>
    <mergeCell ref="C42:F42"/>
    <mergeCell ref="G42:J42"/>
    <mergeCell ref="K42:N42"/>
    <mergeCell ref="O42:R42"/>
    <mergeCell ref="S42:V42"/>
    <mergeCell ref="W42:Z42"/>
    <mergeCell ref="AA42:AD42"/>
    <mergeCell ref="A41:B41"/>
    <mergeCell ref="C41:F41"/>
    <mergeCell ref="G41:J41"/>
    <mergeCell ref="K41:N41"/>
    <mergeCell ref="O41:R41"/>
    <mergeCell ref="S41:V41"/>
    <mergeCell ref="AE37:AE38"/>
    <mergeCell ref="AF37:AF38"/>
    <mergeCell ref="C38:F38"/>
    <mergeCell ref="G38:J38"/>
    <mergeCell ref="K38:N38"/>
    <mergeCell ref="O38:R38"/>
    <mergeCell ref="A46:B46"/>
    <mergeCell ref="C46:F46"/>
    <mergeCell ref="G46:J46"/>
    <mergeCell ref="K46:N46"/>
    <mergeCell ref="O46:R46"/>
    <mergeCell ref="S46:V46"/>
    <mergeCell ref="W43:Z43"/>
    <mergeCell ref="AA43:AD43"/>
    <mergeCell ref="A45:B45"/>
    <mergeCell ref="C45:F45"/>
    <mergeCell ref="G45:J45"/>
    <mergeCell ref="K45:N45"/>
    <mergeCell ref="O45:R45"/>
    <mergeCell ref="S45:V45"/>
    <mergeCell ref="W45:Z45"/>
    <mergeCell ref="AA45:AD45"/>
    <mergeCell ref="A43:B43"/>
    <mergeCell ref="C43:F43"/>
    <mergeCell ref="A40:B40"/>
    <mergeCell ref="C40:F40"/>
    <mergeCell ref="O40:R40"/>
    <mergeCell ref="S40:V40"/>
    <mergeCell ref="W40:Z40"/>
    <mergeCell ref="AA40:AD40"/>
    <mergeCell ref="G40:J40"/>
    <mergeCell ref="K40:N40"/>
    <mergeCell ref="S38:V38"/>
    <mergeCell ref="W38:Z38"/>
    <mergeCell ref="AA38:AD38"/>
    <mergeCell ref="AA34:AD34"/>
    <mergeCell ref="A35:A36"/>
    <mergeCell ref="B35:B36"/>
    <mergeCell ref="AE35:AE36"/>
    <mergeCell ref="AF35:AF36"/>
    <mergeCell ref="C36:F36"/>
    <mergeCell ref="G36:J36"/>
    <mergeCell ref="K36:N36"/>
    <mergeCell ref="O36:R36"/>
    <mergeCell ref="S36:V36"/>
    <mergeCell ref="A33:A34"/>
    <mergeCell ref="B33:B34"/>
    <mergeCell ref="AE33:AE34"/>
    <mergeCell ref="AF33:AF34"/>
    <mergeCell ref="G34:J34"/>
    <mergeCell ref="K34:N34"/>
    <mergeCell ref="O34:R34"/>
    <mergeCell ref="S34:V34"/>
    <mergeCell ref="W34:Z34"/>
    <mergeCell ref="C34:F34"/>
    <mergeCell ref="W36:Z36"/>
    <mergeCell ref="AA36:AD36"/>
    <mergeCell ref="A31:A32"/>
    <mergeCell ref="B31:B32"/>
    <mergeCell ref="AE31:AE32"/>
    <mergeCell ref="W28:Z28"/>
    <mergeCell ref="AA28:AD28"/>
    <mergeCell ref="A29:A30"/>
    <mergeCell ref="B29:B30"/>
    <mergeCell ref="AE29:AE30"/>
    <mergeCell ref="AF29:AF30"/>
    <mergeCell ref="C30:F30"/>
    <mergeCell ref="G30:J30"/>
    <mergeCell ref="K30:N30"/>
    <mergeCell ref="O30:R30"/>
    <mergeCell ref="AF31:AF32"/>
    <mergeCell ref="C32:F32"/>
    <mergeCell ref="G32:J32"/>
    <mergeCell ref="K32:N32"/>
    <mergeCell ref="O32:R32"/>
    <mergeCell ref="S32:V32"/>
    <mergeCell ref="W32:Z32"/>
    <mergeCell ref="AA32:AD32"/>
    <mergeCell ref="S30:V30"/>
    <mergeCell ref="W30:Z30"/>
    <mergeCell ref="AA30:AD30"/>
    <mergeCell ref="AA20:AD20"/>
    <mergeCell ref="A27:A28"/>
    <mergeCell ref="B27:B28"/>
    <mergeCell ref="AE27:AE28"/>
    <mergeCell ref="AF27:AF28"/>
    <mergeCell ref="C28:F28"/>
    <mergeCell ref="G28:J28"/>
    <mergeCell ref="K28:N28"/>
    <mergeCell ref="O28:R28"/>
    <mergeCell ref="S28:V28"/>
    <mergeCell ref="A19:A20"/>
    <mergeCell ref="B19:B20"/>
    <mergeCell ref="AE19:AE20"/>
    <mergeCell ref="AF19:AF20"/>
    <mergeCell ref="C20:F20"/>
    <mergeCell ref="G20:J20"/>
    <mergeCell ref="K20:N20"/>
    <mergeCell ref="O20:R20"/>
    <mergeCell ref="S20:V20"/>
    <mergeCell ref="W20:Z20"/>
    <mergeCell ref="AA22:AD22"/>
    <mergeCell ref="A23:A24"/>
    <mergeCell ref="B23:B24"/>
    <mergeCell ref="AE23:AE24"/>
    <mergeCell ref="A17:A18"/>
    <mergeCell ref="B17:B18"/>
    <mergeCell ref="AE17:AE18"/>
    <mergeCell ref="W14:Z14"/>
    <mergeCell ref="AA14:AD14"/>
    <mergeCell ref="A15:A16"/>
    <mergeCell ref="B15:B16"/>
    <mergeCell ref="AE15:AE16"/>
    <mergeCell ref="AF15:AF16"/>
    <mergeCell ref="C16:F16"/>
    <mergeCell ref="G16:J16"/>
    <mergeCell ref="K16:N16"/>
    <mergeCell ref="O16:R16"/>
    <mergeCell ref="AF17:AF18"/>
    <mergeCell ref="C18:F18"/>
    <mergeCell ref="G18:J18"/>
    <mergeCell ref="K18:N18"/>
    <mergeCell ref="O18:R18"/>
    <mergeCell ref="S18:V18"/>
    <mergeCell ref="W18:Z18"/>
    <mergeCell ref="AA18:AD18"/>
    <mergeCell ref="S16:V16"/>
    <mergeCell ref="W16:Z16"/>
    <mergeCell ref="AA16:AD16"/>
    <mergeCell ref="AA12:AD12"/>
    <mergeCell ref="A13:A14"/>
    <mergeCell ref="B13:B14"/>
    <mergeCell ref="AE13:AE14"/>
    <mergeCell ref="AF13:AF14"/>
    <mergeCell ref="C14:F14"/>
    <mergeCell ref="G14:J14"/>
    <mergeCell ref="K14:N14"/>
    <mergeCell ref="O14:R14"/>
    <mergeCell ref="S14:V14"/>
    <mergeCell ref="A11:A12"/>
    <mergeCell ref="B11:B12"/>
    <mergeCell ref="AE11:AE12"/>
    <mergeCell ref="AF11:AF12"/>
    <mergeCell ref="C12:F12"/>
    <mergeCell ref="G12:J12"/>
    <mergeCell ref="K12:N12"/>
    <mergeCell ref="O12:R12"/>
    <mergeCell ref="S12:V12"/>
    <mergeCell ref="W12:Z12"/>
    <mergeCell ref="W10:Z10"/>
    <mergeCell ref="AA10:AD10"/>
    <mergeCell ref="AA8:AD8"/>
    <mergeCell ref="A9:A10"/>
    <mergeCell ref="B9:B10"/>
    <mergeCell ref="AE9:AE10"/>
    <mergeCell ref="AF9:AF10"/>
    <mergeCell ref="C10:F10"/>
    <mergeCell ref="G10:J10"/>
    <mergeCell ref="K10:N10"/>
    <mergeCell ref="O10:R10"/>
    <mergeCell ref="S10:V10"/>
    <mergeCell ref="A7:A8"/>
    <mergeCell ref="B7:B8"/>
    <mergeCell ref="AE7:AE8"/>
    <mergeCell ref="AF7:AF8"/>
    <mergeCell ref="C8:F8"/>
    <mergeCell ref="G8:J8"/>
    <mergeCell ref="K8:N8"/>
    <mergeCell ref="O8:R8"/>
    <mergeCell ref="S8:V8"/>
    <mergeCell ref="W8:Z8"/>
    <mergeCell ref="A5:A6"/>
    <mergeCell ref="B5:B6"/>
    <mergeCell ref="AE5:AE6"/>
    <mergeCell ref="AF5:AF6"/>
    <mergeCell ref="C6:F6"/>
    <mergeCell ref="G6:J6"/>
    <mergeCell ref="K6:N6"/>
    <mergeCell ref="O6:R6"/>
    <mergeCell ref="S6:V6"/>
    <mergeCell ref="W6:Z6"/>
    <mergeCell ref="AA6:AD6"/>
    <mergeCell ref="AA2:AD2"/>
    <mergeCell ref="A3:A4"/>
    <mergeCell ref="B3:B4"/>
    <mergeCell ref="AE3:AE4"/>
    <mergeCell ref="AF3:AF4"/>
    <mergeCell ref="C4:F4"/>
    <mergeCell ref="G4:J4"/>
    <mergeCell ref="K4:N4"/>
    <mergeCell ref="O4:R4"/>
    <mergeCell ref="S4:V4"/>
    <mergeCell ref="A1:A2"/>
    <mergeCell ref="B1:B2"/>
    <mergeCell ref="C1:AD1"/>
    <mergeCell ref="AE1:AF1"/>
    <mergeCell ref="C2:F2"/>
    <mergeCell ref="G2:J2"/>
    <mergeCell ref="K2:N2"/>
    <mergeCell ref="O2:R2"/>
    <mergeCell ref="S2:V2"/>
    <mergeCell ref="W2:Z2"/>
    <mergeCell ref="W4:Z4"/>
    <mergeCell ref="AA4:AD4"/>
  </mergeCells>
  <pageMargins left="0.51181102362204722" right="0.51181102362204722" top="1.1811023622047245" bottom="0.78740157480314965" header="0.31496062992125984" footer="0.31496062992125984"/>
  <pageSetup paperSize="9" scale="60" orientation="landscape" r:id="rId1"/>
  <headerFooter>
    <oddHeader>&amp;C&amp;14 Parque Estadual Aguapeí
Diretoria Metropolitana Interior
&amp;A&amp;RCronograma
Boletim CPOS 175 - MAR/2019</oddHeader>
    <oddFooter>&amp;L&amp;"-,Negrito"Fundação Florestal &amp;"-,Regular"| Av. Prof. Frederico Hermann Jr 345 | CEP 05459-010
São Paulo, SP | Fone (11) 2997-5000 | www.fflorestal.sp.gov.br
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1"/>
  <sheetViews>
    <sheetView showGridLines="0" view="pageLayout" topLeftCell="A13" zoomScaleNormal="100" workbookViewId="0">
      <selection activeCell="D9" sqref="D9"/>
    </sheetView>
  </sheetViews>
  <sheetFormatPr defaultRowHeight="15"/>
  <cols>
    <col min="1" max="1" width="2" style="7" customWidth="1"/>
    <col min="2" max="2" width="59.42578125" style="7" customWidth="1"/>
    <col min="3" max="3" width="19.85546875" style="7" customWidth="1"/>
    <col min="4" max="4" width="19.7109375" style="7" bestFit="1" customWidth="1"/>
    <col min="5" max="29" width="3.7109375" style="7" customWidth="1"/>
    <col min="30" max="30" width="19.28515625" style="7" customWidth="1"/>
    <col min="31" max="31" width="19.140625" style="7" customWidth="1"/>
    <col min="32" max="32" width="9.140625" style="7"/>
    <col min="33" max="33" width="15.140625" style="7" customWidth="1"/>
    <col min="34" max="16384" width="9.140625" style="7"/>
  </cols>
  <sheetData>
    <row r="1" spans="1:35">
      <c r="B1" s="108"/>
      <c r="C1" s="109"/>
      <c r="D1" s="110"/>
    </row>
    <row r="2" spans="1:35">
      <c r="B2" s="111"/>
      <c r="C2" s="44"/>
      <c r="D2" s="112"/>
    </row>
    <row r="3" spans="1:35">
      <c r="B3" s="111"/>
      <c r="C3" s="44"/>
      <c r="D3" s="112"/>
    </row>
    <row r="4" spans="1:35">
      <c r="B4" s="111"/>
      <c r="C4" s="44"/>
      <c r="D4" s="112"/>
    </row>
    <row r="5" spans="1:35" ht="15.75" thickBot="1">
      <c r="A5" s="28"/>
      <c r="B5" s="111"/>
      <c r="C5" s="44"/>
      <c r="D5" s="112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9"/>
      <c r="AE5" s="29"/>
    </row>
    <row r="6" spans="1:35" ht="15.75" thickBot="1">
      <c r="A6" s="28"/>
      <c r="B6" s="55" t="s">
        <v>45</v>
      </c>
      <c r="C6" s="56" t="s">
        <v>84</v>
      </c>
      <c r="D6" s="57" t="s">
        <v>173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1"/>
      <c r="AE6" s="31"/>
    </row>
    <row r="7" spans="1:35" ht="26.25" customHeight="1">
      <c r="A7" s="26"/>
      <c r="B7" s="98" t="s">
        <v>171</v>
      </c>
      <c r="C7" s="99">
        <f>'Serv. Iniciais e Complementares'!H19</f>
        <v>11043.03</v>
      </c>
      <c r="D7" s="100">
        <f>C7</f>
        <v>11043.03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32"/>
      <c r="AG7" s="8"/>
      <c r="AI7" s="9"/>
    </row>
    <row r="8" spans="1:35" ht="26.25" customHeight="1">
      <c r="A8" s="26"/>
      <c r="B8" s="101" t="s">
        <v>128</v>
      </c>
      <c r="C8" s="102">
        <f>Quiosque!H58</f>
        <v>22807.721090000003</v>
      </c>
      <c r="D8" s="103">
        <f>C8*5</f>
        <v>114038.60545000002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32"/>
      <c r="AG8" s="8"/>
      <c r="AI8" s="9"/>
    </row>
    <row r="9" spans="1:35" ht="26.25" customHeight="1" thickBot="1">
      <c r="A9" s="26"/>
      <c r="B9" s="104" t="s">
        <v>93</v>
      </c>
      <c r="C9" s="105">
        <f>Playground!H10</f>
        <v>34809.9</v>
      </c>
      <c r="D9" s="106">
        <f>C9</f>
        <v>34809.9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32"/>
      <c r="AG9" s="8"/>
      <c r="AI9" s="9"/>
    </row>
    <row r="10" spans="1:35" ht="26.25" customHeight="1">
      <c r="A10" s="26"/>
      <c r="B10" s="58" t="s">
        <v>8</v>
      </c>
      <c r="C10" s="59">
        <f>SUM(C7:C9)</f>
        <v>68660.651089999999</v>
      </c>
      <c r="D10" s="60">
        <f>SUM(D7:D9)</f>
        <v>159891.53545000002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32"/>
      <c r="AG10" s="8"/>
      <c r="AI10" s="9"/>
    </row>
    <row r="11" spans="1:35" ht="26.25" customHeight="1">
      <c r="A11" s="26"/>
      <c r="B11" s="48" t="s">
        <v>94</v>
      </c>
      <c r="C11" s="45">
        <f>C10*0.1</f>
        <v>6866.0651090000001</v>
      </c>
      <c r="D11" s="49">
        <f>D10*0.1</f>
        <v>15989.153545000003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32"/>
      <c r="AG11" s="8"/>
      <c r="AI11" s="9"/>
    </row>
    <row r="12" spans="1:35" ht="26.25" customHeight="1">
      <c r="A12" s="26"/>
      <c r="B12" s="50" t="s">
        <v>17</v>
      </c>
      <c r="C12" s="46">
        <f>(C10+C11)*0.3</f>
        <v>22658.014859700001</v>
      </c>
      <c r="D12" s="51">
        <f>(D10+D11)*0.3</f>
        <v>52764.206698500006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32"/>
      <c r="AG12" s="8"/>
      <c r="AI12" s="9"/>
    </row>
    <row r="13" spans="1:35" ht="26.25" customHeight="1" thickBot="1">
      <c r="A13" s="26"/>
      <c r="B13" s="52" t="s">
        <v>13</v>
      </c>
      <c r="C13" s="53">
        <f>C10+C11+C12</f>
        <v>98184.73105870001</v>
      </c>
      <c r="D13" s="54">
        <f>D10+D11+D12</f>
        <v>228644.89569350003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32"/>
      <c r="AG13" s="8"/>
      <c r="AI13" s="9"/>
    </row>
    <row r="14" spans="1:35">
      <c r="A14" s="26"/>
      <c r="B14" s="20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32"/>
      <c r="AG14" s="8"/>
      <c r="AI14" s="9"/>
    </row>
    <row r="15" spans="1:35">
      <c r="A15" s="26"/>
      <c r="B15" s="20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32"/>
      <c r="AG15" s="8"/>
      <c r="AI15" s="9"/>
    </row>
    <row r="16" spans="1:35">
      <c r="A16" s="26"/>
      <c r="B16" s="20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32"/>
      <c r="AG16" s="8"/>
      <c r="AI16" s="9"/>
    </row>
    <row r="17" spans="1:35">
      <c r="A17" s="26"/>
      <c r="B17" s="20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32"/>
      <c r="AG17" s="8"/>
      <c r="AI17" s="9"/>
    </row>
    <row r="18" spans="1:35">
      <c r="A18" s="27"/>
      <c r="B18" s="20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33"/>
      <c r="AE18" s="34"/>
      <c r="AG18" s="8"/>
      <c r="AI18" s="9"/>
    </row>
    <row r="19" spans="1:35">
      <c r="A19" s="20"/>
      <c r="B19" s="20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6"/>
      <c r="AE19" s="37"/>
      <c r="AG19" s="8"/>
      <c r="AI19" s="9"/>
    </row>
    <row r="20" spans="1:35">
      <c r="A20" s="26"/>
      <c r="B20" s="2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38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6"/>
      <c r="AE20" s="37"/>
      <c r="AG20" s="8"/>
    </row>
    <row r="21" spans="1:35">
      <c r="A21" s="20"/>
      <c r="B21" s="20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6"/>
      <c r="AE21" s="37"/>
      <c r="AG21" s="8"/>
    </row>
  </sheetData>
  <printOptions horizontalCentered="1"/>
  <pageMargins left="0.39370078740157483" right="0.39370078740157483" top="1.1811023622047245" bottom="0.78740157480314965" header="0.19685039370078741" footer="0.19685039370078741"/>
  <pageSetup paperSize="9" orientation="landscape" r:id="rId1"/>
  <headerFooter>
    <oddHeader>&amp;C Parque Estadual Aguapeí
Diretoria Metropolitana Interior
&amp;A&amp;R&amp;"Calibri,Regular"
Cronograma Físico-Financeiro
Boletim CPOS 175 - MAR/2019</oddHeader>
    <oddFooter>&amp;L&amp;"-,Negrito"Fundação Florestal&amp;"-,Regular" | Av. Prof. Frederico Hermann Jr 345 | CEP 05459-010
São Paulo, SP | Fone (11) 2997-5000 | www.fflorestal.sp.gov.br
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2"/>
  <sheetViews>
    <sheetView showGridLines="0" view="pageLayout" topLeftCell="A10" zoomScale="80" zoomScaleNormal="80" zoomScalePageLayoutView="80" workbookViewId="0">
      <selection activeCell="A19" sqref="A19:I22"/>
    </sheetView>
  </sheetViews>
  <sheetFormatPr defaultRowHeight="18.75"/>
  <cols>
    <col min="1" max="1" width="9.140625" style="4"/>
    <col min="2" max="2" width="21.85546875" style="4" customWidth="1"/>
    <col min="3" max="3" width="87.5703125" style="1" customWidth="1"/>
    <col min="4" max="4" width="10" style="1" customWidth="1"/>
    <col min="5" max="5" width="12.7109375" style="41" bestFit="1" customWidth="1"/>
    <col min="6" max="8" width="15.7109375" style="5" customWidth="1"/>
    <col min="9" max="9" width="16.42578125" style="5" bestFit="1" customWidth="1"/>
    <col min="10" max="10" width="14.5703125" customWidth="1"/>
    <col min="11" max="11" width="53.5703125" style="13" customWidth="1"/>
  </cols>
  <sheetData>
    <row r="1" spans="1:23">
      <c r="A1" s="24"/>
      <c r="B1" s="24"/>
      <c r="C1" s="25"/>
      <c r="D1" s="25"/>
      <c r="E1" s="39"/>
      <c r="F1" s="23"/>
      <c r="G1" s="23"/>
      <c r="H1" s="23"/>
      <c r="I1" s="23"/>
    </row>
    <row r="2" spans="1:23">
      <c r="A2" s="24"/>
      <c r="B2" s="24"/>
      <c r="C2" s="25"/>
      <c r="D2" s="25"/>
      <c r="E2" s="39"/>
      <c r="F2" s="23"/>
      <c r="G2" s="23"/>
      <c r="H2" s="23"/>
      <c r="I2" s="23"/>
    </row>
    <row r="3" spans="1:23">
      <c r="A3" s="24"/>
      <c r="B3" s="24"/>
      <c r="C3" s="25"/>
      <c r="D3" s="25"/>
      <c r="E3" s="39"/>
      <c r="F3" s="23"/>
      <c r="G3" s="23"/>
      <c r="H3" s="23"/>
      <c r="I3" s="23"/>
    </row>
    <row r="4" spans="1:23" ht="19.5" thickBot="1">
      <c r="A4" s="24"/>
      <c r="B4" s="24"/>
      <c r="C4" s="25"/>
      <c r="D4" s="25"/>
      <c r="E4" s="39"/>
      <c r="F4" s="23"/>
      <c r="G4" s="23"/>
      <c r="H4" s="23"/>
      <c r="I4" s="23"/>
    </row>
    <row r="5" spans="1:23" ht="19.5" thickBot="1">
      <c r="A5" s="133" t="s">
        <v>0</v>
      </c>
      <c r="B5" s="134" t="s">
        <v>1</v>
      </c>
      <c r="C5" s="135" t="s">
        <v>2</v>
      </c>
      <c r="D5" s="134" t="s">
        <v>3</v>
      </c>
      <c r="E5" s="136" t="s">
        <v>4</v>
      </c>
      <c r="F5" s="137" t="s">
        <v>5</v>
      </c>
      <c r="G5" s="137" t="s">
        <v>6</v>
      </c>
      <c r="H5" s="137" t="s">
        <v>7</v>
      </c>
      <c r="I5" s="138" t="s">
        <v>8</v>
      </c>
      <c r="J5" s="11"/>
      <c r="K5" s="12"/>
      <c r="L5" s="11"/>
      <c r="M5" s="11"/>
      <c r="N5" s="11"/>
      <c r="O5" s="11"/>
      <c r="P5" s="11"/>
      <c r="Q5" s="11"/>
      <c r="R5" s="11"/>
      <c r="S5" s="11"/>
    </row>
    <row r="6" spans="1:23">
      <c r="A6" s="125">
        <v>1</v>
      </c>
      <c r="B6" s="126"/>
      <c r="C6" s="127" t="s">
        <v>20</v>
      </c>
      <c r="D6" s="128"/>
      <c r="E6" s="129"/>
      <c r="F6" s="130"/>
      <c r="G6" s="130"/>
      <c r="H6" s="131"/>
      <c r="I6" s="132">
        <f>SUM(I7:I10)</f>
        <v>6359.91</v>
      </c>
      <c r="J6" s="11"/>
      <c r="K6" s="12"/>
      <c r="L6" s="11"/>
      <c r="M6" s="11"/>
      <c r="N6" s="11"/>
      <c r="O6" s="11"/>
      <c r="P6" s="11"/>
      <c r="Q6" s="11"/>
      <c r="R6" s="11"/>
      <c r="S6" s="11"/>
    </row>
    <row r="7" spans="1:23" ht="18" customHeight="1">
      <c r="A7" s="70" t="s">
        <v>27</v>
      </c>
      <c r="B7" s="18" t="s">
        <v>21</v>
      </c>
      <c r="C7" s="19" t="s">
        <v>10</v>
      </c>
      <c r="D7" s="18" t="s">
        <v>9</v>
      </c>
      <c r="E7" s="42">
        <v>6</v>
      </c>
      <c r="F7" s="21">
        <v>314.02999999999997</v>
      </c>
      <c r="G7" s="21">
        <v>68.22</v>
      </c>
      <c r="H7" s="21">
        <f>F7+G7</f>
        <v>382.25</v>
      </c>
      <c r="I7" s="82">
        <f t="shared" ref="I7:I9" si="0">H7*E7</f>
        <v>2293.5</v>
      </c>
      <c r="J7" s="11"/>
      <c r="K7" s="12"/>
      <c r="L7" s="11"/>
      <c r="M7" s="11"/>
      <c r="N7" s="11"/>
      <c r="O7" s="12"/>
      <c r="P7" s="11"/>
      <c r="Q7" s="11"/>
      <c r="R7" s="11"/>
      <c r="S7" s="11"/>
      <c r="T7" s="11"/>
      <c r="U7" s="11"/>
      <c r="V7" s="11"/>
      <c r="W7" s="11"/>
    </row>
    <row r="8" spans="1:23">
      <c r="A8" s="70" t="s">
        <v>112</v>
      </c>
      <c r="B8" s="18" t="s">
        <v>102</v>
      </c>
      <c r="C8" s="19" t="s">
        <v>103</v>
      </c>
      <c r="D8" s="18" t="s">
        <v>104</v>
      </c>
      <c r="E8" s="42">
        <v>3</v>
      </c>
      <c r="F8" s="21">
        <v>470.92</v>
      </c>
      <c r="G8" s="21">
        <v>60.65</v>
      </c>
      <c r="H8" s="21">
        <f t="shared" ref="H8" si="1">F8+G8</f>
        <v>531.57000000000005</v>
      </c>
      <c r="I8" s="82">
        <f t="shared" si="0"/>
        <v>1594.71</v>
      </c>
      <c r="J8" s="11"/>
      <c r="K8" s="12"/>
      <c r="L8" s="12"/>
      <c r="M8" s="12"/>
      <c r="N8" s="11"/>
      <c r="O8" s="11"/>
      <c r="P8" s="11"/>
      <c r="Q8" s="11"/>
      <c r="R8" s="11"/>
      <c r="S8" s="11"/>
    </row>
    <row r="9" spans="1:23" ht="28.5">
      <c r="A9" s="70" t="s">
        <v>28</v>
      </c>
      <c r="B9" s="18" t="s">
        <v>105</v>
      </c>
      <c r="C9" s="19" t="s">
        <v>106</v>
      </c>
      <c r="D9" s="18" t="s">
        <v>104</v>
      </c>
      <c r="E9" s="42">
        <v>3</v>
      </c>
      <c r="F9" s="21">
        <v>721.73</v>
      </c>
      <c r="G9" s="21">
        <v>102.17</v>
      </c>
      <c r="H9" s="21">
        <f t="shared" ref="H9" si="2">F9+G9</f>
        <v>823.9</v>
      </c>
      <c r="I9" s="82">
        <f t="shared" si="0"/>
        <v>2471.6999999999998</v>
      </c>
      <c r="J9" s="11"/>
      <c r="K9" s="12"/>
      <c r="L9" s="12"/>
      <c r="M9" s="12"/>
      <c r="N9" s="11"/>
      <c r="O9" s="11"/>
      <c r="P9" s="11"/>
      <c r="Q9" s="11"/>
      <c r="R9" s="11"/>
      <c r="S9" s="11"/>
    </row>
    <row r="10" spans="1:23">
      <c r="A10" s="70"/>
      <c r="B10" s="18"/>
      <c r="C10" s="19"/>
      <c r="D10" s="18"/>
      <c r="E10" s="42"/>
      <c r="F10" s="21"/>
      <c r="G10" s="21"/>
      <c r="H10" s="21">
        <f t="shared" ref="H10" si="3">F10+G10</f>
        <v>0</v>
      </c>
      <c r="I10" s="82">
        <f t="shared" ref="I10" si="4">H10*E10</f>
        <v>0</v>
      </c>
      <c r="J10" s="43"/>
      <c r="M10" s="11"/>
      <c r="N10" s="11"/>
      <c r="O10" s="11"/>
      <c r="P10" s="11"/>
      <c r="Q10" s="11"/>
      <c r="R10" s="11"/>
    </row>
    <row r="11" spans="1:23">
      <c r="A11" s="68">
        <v>2</v>
      </c>
      <c r="B11" s="10"/>
      <c r="C11" s="74" t="s">
        <v>109</v>
      </c>
      <c r="D11" s="6"/>
      <c r="E11" s="40"/>
      <c r="F11" s="75"/>
      <c r="G11" s="75"/>
      <c r="H11" s="3"/>
      <c r="I11" s="69">
        <f>SUM(I12:I13)</f>
        <v>1563.1200000000001</v>
      </c>
      <c r="J11" s="43"/>
      <c r="M11" s="11"/>
      <c r="N11" s="11"/>
      <c r="O11" s="11"/>
      <c r="P11" s="11"/>
      <c r="Q11" s="11"/>
      <c r="R11" s="11"/>
    </row>
    <row r="12" spans="1:23" ht="28.5">
      <c r="A12" s="70" t="s">
        <v>29</v>
      </c>
      <c r="B12" s="18" t="s">
        <v>113</v>
      </c>
      <c r="C12" s="19" t="s">
        <v>114</v>
      </c>
      <c r="D12" s="18" t="s">
        <v>11</v>
      </c>
      <c r="E12" s="42">
        <f>3*6</f>
        <v>18</v>
      </c>
      <c r="F12" s="21">
        <v>77.930000000000007</v>
      </c>
      <c r="G12" s="21">
        <v>8.91</v>
      </c>
      <c r="H12" s="21">
        <f t="shared" ref="H12:H13" si="5">F12+G12</f>
        <v>86.84</v>
      </c>
      <c r="I12" s="82">
        <f t="shared" ref="I12:I13" si="6">H12*E12</f>
        <v>1563.1200000000001</v>
      </c>
      <c r="J12" s="43"/>
      <c r="M12" s="11"/>
      <c r="N12" s="11"/>
      <c r="O12" s="11"/>
      <c r="P12" s="11"/>
      <c r="Q12" s="11"/>
      <c r="R12" s="11"/>
    </row>
    <row r="13" spans="1:23">
      <c r="A13" s="70"/>
      <c r="B13" s="18"/>
      <c r="C13" s="19"/>
      <c r="D13" s="18"/>
      <c r="E13" s="42"/>
      <c r="F13" s="21"/>
      <c r="G13" s="21"/>
      <c r="H13" s="21">
        <f t="shared" si="5"/>
        <v>0</v>
      </c>
      <c r="I13" s="82">
        <f t="shared" si="6"/>
        <v>0</v>
      </c>
      <c r="J13" s="43"/>
      <c r="M13" s="11"/>
      <c r="N13" s="11"/>
      <c r="O13" s="11"/>
      <c r="P13" s="11"/>
      <c r="Q13" s="11"/>
      <c r="R13" s="11"/>
    </row>
    <row r="14" spans="1:23">
      <c r="A14" s="68">
        <v>3</v>
      </c>
      <c r="B14" s="10"/>
      <c r="C14" s="74" t="s">
        <v>172</v>
      </c>
      <c r="D14" s="6"/>
      <c r="E14" s="40"/>
      <c r="F14" s="75"/>
      <c r="G14" s="75"/>
      <c r="H14" s="3"/>
      <c r="I14" s="69">
        <f>SUM(I15:I16)</f>
        <v>3120</v>
      </c>
      <c r="J14" s="43"/>
      <c r="M14" s="11"/>
      <c r="N14" s="11"/>
      <c r="O14" s="11"/>
      <c r="P14" s="11"/>
      <c r="Q14" s="11"/>
      <c r="R14" s="11"/>
    </row>
    <row r="15" spans="1:23">
      <c r="A15" s="70" t="s">
        <v>35</v>
      </c>
      <c r="B15" s="18" t="s">
        <v>24</v>
      </c>
      <c r="C15" s="19" t="s">
        <v>25</v>
      </c>
      <c r="D15" s="18" t="s">
        <v>9</v>
      </c>
      <c r="E15" s="42">
        <f>50*6</f>
        <v>300</v>
      </c>
      <c r="F15" s="21">
        <v>0</v>
      </c>
      <c r="G15" s="21">
        <v>10.4</v>
      </c>
      <c r="H15" s="21">
        <f>F15+G15</f>
        <v>10.4</v>
      </c>
      <c r="I15" s="82">
        <f t="shared" ref="I15:I17" si="7">H15*E15</f>
        <v>3120</v>
      </c>
      <c r="J15" s="43"/>
      <c r="M15" s="11"/>
      <c r="N15" s="11"/>
      <c r="O15" s="11"/>
      <c r="P15" s="11"/>
      <c r="Q15" s="11"/>
      <c r="R15" s="11"/>
    </row>
    <row r="16" spans="1:23">
      <c r="A16" s="70"/>
      <c r="B16" s="18"/>
      <c r="C16" s="19"/>
      <c r="D16" s="18"/>
      <c r="E16" s="42"/>
      <c r="F16" s="21"/>
      <c r="G16" s="21"/>
      <c r="H16" s="21">
        <f t="shared" ref="H16:H17" si="8">F16+G16</f>
        <v>0</v>
      </c>
      <c r="I16" s="82">
        <f t="shared" si="7"/>
        <v>0</v>
      </c>
      <c r="J16" s="43"/>
      <c r="M16" s="11"/>
      <c r="N16" s="11"/>
      <c r="O16" s="11"/>
      <c r="P16" s="11"/>
      <c r="Q16" s="11"/>
      <c r="R16" s="11"/>
    </row>
    <row r="17" spans="1:18">
      <c r="A17" s="70"/>
      <c r="B17" s="18"/>
      <c r="C17" s="19"/>
      <c r="D17" s="18"/>
      <c r="E17" s="42"/>
      <c r="F17" s="21"/>
      <c r="G17" s="21"/>
      <c r="H17" s="21">
        <f t="shared" si="8"/>
        <v>0</v>
      </c>
      <c r="I17" s="82">
        <f t="shared" si="7"/>
        <v>0</v>
      </c>
      <c r="J17" s="43"/>
      <c r="M17" s="11"/>
      <c r="N17" s="11"/>
      <c r="O17" s="11"/>
      <c r="P17" s="11"/>
      <c r="Q17" s="11"/>
      <c r="R17" s="11"/>
    </row>
    <row r="18" spans="1:18" ht="19.5" thickBot="1">
      <c r="A18" s="139"/>
      <c r="B18" s="140"/>
      <c r="C18" s="141"/>
      <c r="D18" s="140"/>
      <c r="E18" s="142"/>
      <c r="F18" s="143"/>
      <c r="G18" s="143"/>
      <c r="H18" s="143"/>
      <c r="I18" s="144"/>
      <c r="J18" s="43"/>
      <c r="K18" s="12"/>
      <c r="L18" s="11"/>
      <c r="M18" s="11"/>
      <c r="N18" s="11"/>
      <c r="O18" s="11"/>
      <c r="P18" s="11"/>
      <c r="Q18" s="11"/>
      <c r="R18" s="11"/>
    </row>
    <row r="19" spans="1:18">
      <c r="A19" s="221" t="s">
        <v>86</v>
      </c>
      <c r="B19" s="222"/>
      <c r="C19" s="222"/>
      <c r="D19" s="222"/>
      <c r="E19" s="222"/>
      <c r="F19" s="222"/>
      <c r="G19" s="223"/>
      <c r="H19" s="224">
        <f>I6+I14+I11</f>
        <v>11043.03</v>
      </c>
      <c r="I19" s="225"/>
      <c r="J19" s="43"/>
      <c r="M19" s="11"/>
      <c r="N19" s="11"/>
      <c r="O19" s="11"/>
      <c r="P19" s="11"/>
      <c r="Q19" s="11"/>
      <c r="R19" s="11"/>
    </row>
    <row r="20" spans="1:18">
      <c r="A20" s="226" t="s">
        <v>87</v>
      </c>
      <c r="B20" s="227"/>
      <c r="C20" s="227"/>
      <c r="D20" s="227"/>
      <c r="E20" s="227"/>
      <c r="F20" s="227"/>
      <c r="G20" s="228"/>
      <c r="H20" s="229">
        <f>H19*0.1</f>
        <v>1104.3030000000001</v>
      </c>
      <c r="I20" s="230"/>
    </row>
    <row r="21" spans="1:18">
      <c r="A21" s="226" t="s">
        <v>17</v>
      </c>
      <c r="B21" s="227"/>
      <c r="C21" s="227"/>
      <c r="D21" s="227"/>
      <c r="E21" s="227"/>
      <c r="F21" s="227"/>
      <c r="G21" s="228"/>
      <c r="H21" s="229">
        <f>(H20+H19)*0.3</f>
        <v>3644.1999000000001</v>
      </c>
      <c r="I21" s="230"/>
    </row>
    <row r="22" spans="1:18" ht="19.5" thickBot="1">
      <c r="A22" s="216" t="s">
        <v>13</v>
      </c>
      <c r="B22" s="217"/>
      <c r="C22" s="217"/>
      <c r="D22" s="217"/>
      <c r="E22" s="217"/>
      <c r="F22" s="217"/>
      <c r="G22" s="218"/>
      <c r="H22" s="219">
        <f>H19+H20+H21</f>
        <v>15791.5329</v>
      </c>
      <c r="I22" s="220"/>
    </row>
  </sheetData>
  <mergeCells count="8">
    <mergeCell ref="A22:G22"/>
    <mergeCell ref="H22:I22"/>
    <mergeCell ref="A19:G19"/>
    <mergeCell ref="H19:I19"/>
    <mergeCell ref="A20:G20"/>
    <mergeCell ref="H20:I20"/>
    <mergeCell ref="A21:G21"/>
    <mergeCell ref="H21:I21"/>
  </mergeCells>
  <printOptions horizontalCentered="1"/>
  <pageMargins left="0.39370078740157483" right="0.39370078740157483" top="1.1811023622047245" bottom="0.98425196850393704" header="0.19685039370078741" footer="0.19685039370078741"/>
  <pageSetup paperSize="9" scale="67" fitToHeight="0" orientation="landscape" r:id="rId1"/>
  <headerFooter>
    <oddHeader xml:space="preserve">&amp;C&amp;"Calibri,Regular"Parque Estadual Aguapeí
Diretoria Metropolitana Interior
&amp;A&amp;R
Planilha de Custos
Boletim CPOS 175 - MAR/2019&amp;"-,Negrito"
</oddHeader>
    <oddFooter>&amp;L&amp;"-,Negrito"Fundação Florestal&amp;"-,Regular" | Av. Prof. Frederico Hermann Jr 345 | CEP 05459-010
São Paulo, SP | Fone (11) 2997-5000 | www.fflorestal.sp.gov.br
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1"/>
  <sheetViews>
    <sheetView showGridLines="0" view="pageLayout" zoomScale="80" zoomScaleNormal="80" zoomScalePageLayoutView="80" workbookViewId="0">
      <selection activeCell="A58" sqref="A58:I61"/>
    </sheetView>
  </sheetViews>
  <sheetFormatPr defaultRowHeight="18.75"/>
  <cols>
    <col min="1" max="1" width="9.140625" style="4"/>
    <col min="2" max="2" width="21.85546875" style="4" customWidth="1"/>
    <col min="3" max="3" width="87.5703125" style="1" customWidth="1"/>
    <col min="4" max="4" width="10" style="1" customWidth="1"/>
    <col min="5" max="5" width="12.7109375" style="41" bestFit="1" customWidth="1"/>
    <col min="6" max="9" width="15.7109375" style="5" customWidth="1"/>
    <col min="10" max="10" width="14.5703125" customWidth="1"/>
    <col min="11" max="11" width="53.5703125" style="13" customWidth="1"/>
  </cols>
  <sheetData>
    <row r="1" spans="1:19">
      <c r="A1" s="24"/>
      <c r="B1" s="24"/>
      <c r="C1" s="25"/>
      <c r="D1" s="25"/>
      <c r="E1" s="39"/>
      <c r="F1" s="23"/>
      <c r="G1" s="23"/>
      <c r="H1" s="23"/>
      <c r="I1" s="23"/>
    </row>
    <row r="2" spans="1:19">
      <c r="A2" s="24"/>
      <c r="B2" s="24"/>
      <c r="C2" s="25"/>
      <c r="D2" s="25"/>
      <c r="E2" s="39"/>
      <c r="F2" s="23"/>
      <c r="G2" s="23"/>
      <c r="H2" s="23"/>
      <c r="I2" s="23"/>
    </row>
    <row r="3" spans="1:19">
      <c r="A3" s="24"/>
      <c r="B3" s="24"/>
      <c r="C3" s="25"/>
      <c r="D3" s="25"/>
      <c r="E3" s="39"/>
      <c r="F3" s="23"/>
      <c r="G3" s="23"/>
      <c r="H3" s="23"/>
      <c r="I3" s="23"/>
    </row>
    <row r="4" spans="1:19" ht="19.5" thickBot="1">
      <c r="A4" s="24"/>
      <c r="B4" s="24"/>
      <c r="C4" s="25"/>
      <c r="D4" s="25"/>
      <c r="E4" s="39"/>
      <c r="F4" s="23"/>
      <c r="G4" s="23"/>
      <c r="H4" s="23"/>
      <c r="I4" s="23"/>
    </row>
    <row r="5" spans="1:19" ht="19.5" thickBot="1">
      <c r="A5" s="133" t="s">
        <v>0</v>
      </c>
      <c r="B5" s="134" t="s">
        <v>1</v>
      </c>
      <c r="C5" s="135" t="s">
        <v>2</v>
      </c>
      <c r="D5" s="134" t="s">
        <v>3</v>
      </c>
      <c r="E5" s="136" t="s">
        <v>4</v>
      </c>
      <c r="F5" s="137" t="s">
        <v>5</v>
      </c>
      <c r="G5" s="137" t="s">
        <v>6</v>
      </c>
      <c r="H5" s="137" t="s">
        <v>7</v>
      </c>
      <c r="I5" s="138" t="s">
        <v>8</v>
      </c>
      <c r="J5" s="11"/>
      <c r="K5" s="12"/>
      <c r="L5" s="11"/>
      <c r="M5" s="11"/>
      <c r="N5" s="11"/>
      <c r="O5" s="11"/>
      <c r="P5" s="11"/>
      <c r="Q5" s="11"/>
      <c r="R5" s="11"/>
      <c r="S5" s="11"/>
    </row>
    <row r="6" spans="1:19">
      <c r="A6" s="145">
        <v>1</v>
      </c>
      <c r="B6" s="146"/>
      <c r="C6" s="147" t="s">
        <v>115</v>
      </c>
      <c r="D6" s="148"/>
      <c r="E6" s="149"/>
      <c r="F6" s="150"/>
      <c r="G6" s="150"/>
      <c r="H6" s="151"/>
      <c r="I6" s="152">
        <f>SUM(I7:I8)</f>
        <v>600.79500000000007</v>
      </c>
      <c r="J6" s="11"/>
      <c r="K6" s="12"/>
      <c r="L6" s="11"/>
      <c r="M6" s="11"/>
      <c r="N6" s="11"/>
      <c r="O6" s="11"/>
      <c r="P6" s="11"/>
      <c r="Q6" s="11"/>
      <c r="R6" s="11"/>
      <c r="S6" s="11"/>
    </row>
    <row r="7" spans="1:19" ht="28.5">
      <c r="A7" s="70" t="s">
        <v>27</v>
      </c>
      <c r="B7" s="18" t="s">
        <v>110</v>
      </c>
      <c r="C7" s="19" t="s">
        <v>111</v>
      </c>
      <c r="D7" s="18" t="s">
        <v>9</v>
      </c>
      <c r="E7" s="42">
        <f>6.5*6.5</f>
        <v>42.25</v>
      </c>
      <c r="F7" s="21">
        <v>1.4</v>
      </c>
      <c r="G7" s="21">
        <v>3.72</v>
      </c>
      <c r="H7" s="21">
        <f>F7+G7</f>
        <v>5.12</v>
      </c>
      <c r="I7" s="71">
        <f>H7*E7</f>
        <v>216.32</v>
      </c>
      <c r="J7" s="11"/>
      <c r="K7" s="12"/>
      <c r="L7" s="11"/>
      <c r="M7" s="11"/>
      <c r="N7" s="11"/>
      <c r="O7" s="11"/>
      <c r="P7" s="11"/>
      <c r="Q7" s="11"/>
      <c r="R7" s="11"/>
      <c r="S7" s="11"/>
    </row>
    <row r="8" spans="1:19">
      <c r="A8" s="70" t="s">
        <v>112</v>
      </c>
      <c r="B8" s="18" t="s">
        <v>107</v>
      </c>
      <c r="C8" s="19" t="s">
        <v>108</v>
      </c>
      <c r="D8" s="18" t="s">
        <v>9</v>
      </c>
      <c r="E8" s="42">
        <f>E7</f>
        <v>42.25</v>
      </c>
      <c r="F8" s="21">
        <v>4.82</v>
      </c>
      <c r="G8" s="21">
        <v>4.28</v>
      </c>
      <c r="H8" s="21">
        <f t="shared" ref="H8" si="0">F8+G8</f>
        <v>9.1000000000000014</v>
      </c>
      <c r="I8" s="71">
        <f t="shared" ref="I8" si="1">H8*E8</f>
        <v>384.47500000000008</v>
      </c>
      <c r="J8" s="11"/>
      <c r="K8" s="12"/>
      <c r="L8" s="11"/>
      <c r="M8" s="11"/>
      <c r="N8" s="11"/>
      <c r="O8" s="11"/>
      <c r="P8" s="11"/>
      <c r="Q8" s="11"/>
      <c r="R8" s="11"/>
      <c r="S8" s="11"/>
    </row>
    <row r="9" spans="1:19">
      <c r="A9" s="68">
        <v>2</v>
      </c>
      <c r="B9" s="10"/>
      <c r="C9" s="74" t="s">
        <v>62</v>
      </c>
      <c r="D9" s="6"/>
      <c r="E9" s="40"/>
      <c r="F9" s="75"/>
      <c r="G9" s="75"/>
      <c r="H9" s="3"/>
      <c r="I9" s="69">
        <f>SUM(I10:I17)</f>
        <v>1097.22084</v>
      </c>
      <c r="J9" s="11"/>
      <c r="K9" s="12"/>
      <c r="L9" s="11"/>
      <c r="M9" s="11"/>
      <c r="N9" s="11"/>
      <c r="O9" s="11"/>
      <c r="P9" s="11"/>
      <c r="Q9" s="11"/>
      <c r="R9" s="11"/>
    </row>
    <row r="10" spans="1:19">
      <c r="A10" s="70" t="s">
        <v>29</v>
      </c>
      <c r="B10" s="22" t="s">
        <v>63</v>
      </c>
      <c r="C10" s="16" t="s">
        <v>64</v>
      </c>
      <c r="D10" s="2" t="s">
        <v>11</v>
      </c>
      <c r="E10" s="42">
        <f>4*1.6*1.6*0.7</f>
        <v>7.168000000000001</v>
      </c>
      <c r="F10" s="21">
        <v>0</v>
      </c>
      <c r="G10" s="21">
        <v>44.55</v>
      </c>
      <c r="H10" s="21">
        <f>F10+G10</f>
        <v>44.55</v>
      </c>
      <c r="I10" s="82">
        <f t="shared" ref="I10:I17" si="2">H10*E10</f>
        <v>319.33440000000002</v>
      </c>
      <c r="J10" s="43" t="s">
        <v>77</v>
      </c>
      <c r="K10" s="12"/>
      <c r="L10" s="11"/>
      <c r="M10" s="11"/>
      <c r="N10" s="11"/>
      <c r="O10" s="11"/>
      <c r="P10" s="11"/>
      <c r="Q10" s="11"/>
      <c r="R10" s="11"/>
    </row>
    <row r="11" spans="1:19">
      <c r="A11" s="70" t="s">
        <v>30</v>
      </c>
      <c r="B11" s="17" t="s">
        <v>65</v>
      </c>
      <c r="C11" s="16" t="s">
        <v>66</v>
      </c>
      <c r="D11" s="15" t="s">
        <v>11</v>
      </c>
      <c r="E11" s="42">
        <f>E10-E16-E13</f>
        <v>6.5240000000000009</v>
      </c>
      <c r="F11" s="21">
        <v>0</v>
      </c>
      <c r="G11" s="21">
        <v>13.86</v>
      </c>
      <c r="H11" s="21">
        <f t="shared" ref="H11" si="3">F11+G11</f>
        <v>13.86</v>
      </c>
      <c r="I11" s="82">
        <f t="shared" si="2"/>
        <v>90.422640000000015</v>
      </c>
      <c r="J11" s="43" t="s">
        <v>78</v>
      </c>
      <c r="K11" s="12"/>
      <c r="L11" s="11"/>
      <c r="M11" s="11"/>
      <c r="N11" s="11"/>
      <c r="O11" s="11"/>
      <c r="P11" s="11"/>
      <c r="Q11" s="11"/>
      <c r="R11" s="11"/>
    </row>
    <row r="12" spans="1:19">
      <c r="A12" s="70" t="s">
        <v>31</v>
      </c>
      <c r="B12" s="22" t="s">
        <v>116</v>
      </c>
      <c r="C12" s="16" t="s">
        <v>117</v>
      </c>
      <c r="D12" s="2" t="s">
        <v>9</v>
      </c>
      <c r="E12" s="42">
        <f>0.5*0.5*4*4</f>
        <v>4</v>
      </c>
      <c r="F12" s="21">
        <v>20.36</v>
      </c>
      <c r="G12" s="21">
        <v>42.8</v>
      </c>
      <c r="H12" s="21">
        <f t="shared" ref="H12:H17" si="4">F12+G12</f>
        <v>63.16</v>
      </c>
      <c r="I12" s="82">
        <f t="shared" si="2"/>
        <v>252.64</v>
      </c>
      <c r="J12" s="43"/>
      <c r="K12" s="12"/>
      <c r="L12" s="11"/>
      <c r="M12" s="11"/>
      <c r="N12" s="11"/>
      <c r="O12" s="11"/>
      <c r="P12" s="11"/>
      <c r="Q12" s="11"/>
      <c r="R12" s="11"/>
    </row>
    <row r="13" spans="1:19">
      <c r="A13" s="70" t="s">
        <v>32</v>
      </c>
      <c r="B13" s="22" t="s">
        <v>124</v>
      </c>
      <c r="C13" s="16" t="s">
        <v>125</v>
      </c>
      <c r="D13" s="2" t="s">
        <v>11</v>
      </c>
      <c r="E13" s="42">
        <f>0.6*0.6*0.1*4</f>
        <v>0.14399999999999999</v>
      </c>
      <c r="F13" s="21">
        <v>199.2</v>
      </c>
      <c r="G13" s="21">
        <v>37.130000000000003</v>
      </c>
      <c r="H13" s="21">
        <f t="shared" si="4"/>
        <v>236.32999999999998</v>
      </c>
      <c r="I13" s="82">
        <f t="shared" si="2"/>
        <v>34.031519999999993</v>
      </c>
      <c r="J13" s="43"/>
      <c r="K13" s="12"/>
      <c r="L13" s="11"/>
      <c r="M13" s="11"/>
      <c r="N13" s="11"/>
      <c r="O13" s="11"/>
      <c r="P13" s="11"/>
      <c r="Q13" s="11"/>
      <c r="R13" s="11"/>
    </row>
    <row r="14" spans="1:19">
      <c r="A14" s="70" t="s">
        <v>33</v>
      </c>
      <c r="B14" s="22" t="s">
        <v>122</v>
      </c>
      <c r="C14" s="16" t="s">
        <v>123</v>
      </c>
      <c r="D14" s="2" t="s">
        <v>11</v>
      </c>
      <c r="E14" s="42">
        <f>E13</f>
        <v>0.14399999999999999</v>
      </c>
      <c r="F14" s="21">
        <v>0</v>
      </c>
      <c r="G14" s="21">
        <v>62.62</v>
      </c>
      <c r="H14" s="21">
        <f t="shared" si="4"/>
        <v>62.62</v>
      </c>
      <c r="I14" s="82">
        <f t="shared" si="2"/>
        <v>9.0172799999999995</v>
      </c>
      <c r="J14" s="43"/>
      <c r="K14" s="12"/>
      <c r="L14" s="11"/>
      <c r="M14" s="11"/>
      <c r="N14" s="11"/>
      <c r="O14" s="11"/>
      <c r="P14" s="11"/>
      <c r="Q14" s="11"/>
      <c r="R14" s="11"/>
    </row>
    <row r="15" spans="1:19">
      <c r="A15" s="70" t="s">
        <v>34</v>
      </c>
      <c r="B15" s="22" t="s">
        <v>67</v>
      </c>
      <c r="C15" s="16" t="s">
        <v>68</v>
      </c>
      <c r="D15" s="2" t="s">
        <v>57</v>
      </c>
      <c r="E15" s="42">
        <f>E16*50</f>
        <v>25</v>
      </c>
      <c r="F15" s="21">
        <v>4.96</v>
      </c>
      <c r="G15" s="21">
        <v>1.9</v>
      </c>
      <c r="H15" s="21">
        <f t="shared" si="4"/>
        <v>6.8599999999999994</v>
      </c>
      <c r="I15" s="82">
        <f t="shared" si="2"/>
        <v>171.5</v>
      </c>
      <c r="J15" s="43"/>
      <c r="K15" s="12"/>
      <c r="L15" s="11"/>
      <c r="M15" s="11"/>
      <c r="N15" s="11"/>
      <c r="O15" s="11"/>
      <c r="P15" s="11"/>
      <c r="Q15" s="11"/>
      <c r="R15" s="11"/>
    </row>
    <row r="16" spans="1:19">
      <c r="A16" s="70" t="s">
        <v>126</v>
      </c>
      <c r="B16" s="22" t="s">
        <v>120</v>
      </c>
      <c r="C16" s="16" t="s">
        <v>121</v>
      </c>
      <c r="D16" s="2" t="s">
        <v>11</v>
      </c>
      <c r="E16" s="42">
        <f>0.5*0.5*4*0.5</f>
        <v>0.5</v>
      </c>
      <c r="F16" s="21">
        <v>226.21</v>
      </c>
      <c r="G16" s="21">
        <v>89.1</v>
      </c>
      <c r="H16" s="21">
        <f t="shared" si="4"/>
        <v>315.31</v>
      </c>
      <c r="I16" s="82">
        <f t="shared" si="2"/>
        <v>157.655</v>
      </c>
      <c r="J16" s="43"/>
      <c r="K16" s="12"/>
      <c r="L16" s="11"/>
      <c r="M16" s="11"/>
      <c r="N16" s="11"/>
      <c r="O16" s="11"/>
      <c r="P16" s="11"/>
      <c r="Q16" s="11"/>
      <c r="R16" s="11"/>
    </row>
    <row r="17" spans="1:18">
      <c r="A17" s="70" t="s">
        <v>127</v>
      </c>
      <c r="B17" s="22" t="s">
        <v>69</v>
      </c>
      <c r="C17" s="16" t="s">
        <v>70</v>
      </c>
      <c r="D17" s="2" t="s">
        <v>11</v>
      </c>
      <c r="E17" s="42">
        <f>E16</f>
        <v>0.5</v>
      </c>
      <c r="F17" s="21">
        <v>0</v>
      </c>
      <c r="G17" s="21">
        <v>125.24</v>
      </c>
      <c r="H17" s="21">
        <f t="shared" si="4"/>
        <v>125.24</v>
      </c>
      <c r="I17" s="82">
        <f t="shared" si="2"/>
        <v>62.62</v>
      </c>
      <c r="J17" s="43"/>
      <c r="K17" s="12"/>
      <c r="L17" s="11"/>
      <c r="M17" s="11"/>
      <c r="N17" s="11"/>
      <c r="O17" s="11"/>
      <c r="P17" s="11"/>
      <c r="Q17" s="11"/>
      <c r="R17" s="11"/>
    </row>
    <row r="18" spans="1:18">
      <c r="A18" s="70"/>
      <c r="B18" s="18"/>
      <c r="C18" s="19"/>
      <c r="D18" s="18"/>
      <c r="E18" s="42"/>
      <c r="F18" s="21"/>
      <c r="G18" s="21"/>
      <c r="H18" s="21"/>
      <c r="I18" s="71"/>
      <c r="J18" s="43"/>
      <c r="K18" s="12"/>
      <c r="L18" s="11"/>
      <c r="M18" s="11"/>
      <c r="N18" s="11"/>
      <c r="O18" s="11"/>
      <c r="P18" s="11"/>
      <c r="Q18" s="11"/>
      <c r="R18" s="11"/>
    </row>
    <row r="19" spans="1:18">
      <c r="A19" s="68">
        <v>3</v>
      </c>
      <c r="B19" s="10"/>
      <c r="C19" s="74" t="s">
        <v>59</v>
      </c>
      <c r="D19" s="6"/>
      <c r="E19" s="40"/>
      <c r="F19" s="75"/>
      <c r="G19" s="75"/>
      <c r="H19" s="3"/>
      <c r="I19" s="69">
        <f>SUM(I20:I29)</f>
        <v>1304.0030000000002</v>
      </c>
      <c r="J19" s="43"/>
      <c r="K19" s="12"/>
      <c r="L19" s="11"/>
      <c r="M19" s="11"/>
      <c r="N19" s="11"/>
      <c r="O19" s="11"/>
      <c r="P19" s="11"/>
      <c r="Q19" s="11"/>
      <c r="R19" s="11"/>
    </row>
    <row r="20" spans="1:18">
      <c r="A20" s="70" t="s">
        <v>35</v>
      </c>
      <c r="B20" s="22" t="s">
        <v>120</v>
      </c>
      <c r="C20" s="16" t="s">
        <v>121</v>
      </c>
      <c r="D20" s="2" t="s">
        <v>11</v>
      </c>
      <c r="E20" s="42">
        <v>0.5</v>
      </c>
      <c r="F20" s="21">
        <v>226.21</v>
      </c>
      <c r="G20" s="21">
        <v>89.1</v>
      </c>
      <c r="H20" s="21">
        <f t="shared" ref="H20:H23" si="5">F20+G20</f>
        <v>315.31</v>
      </c>
      <c r="I20" s="82">
        <f t="shared" ref="I20:I27" si="6">H20*E20</f>
        <v>157.655</v>
      </c>
      <c r="J20" s="43"/>
      <c r="K20" s="12"/>
      <c r="L20" s="11"/>
      <c r="M20" s="11"/>
      <c r="N20" s="11"/>
      <c r="O20" s="11"/>
      <c r="P20" s="11"/>
      <c r="Q20" s="11"/>
      <c r="R20" s="11"/>
    </row>
    <row r="21" spans="1:18">
      <c r="A21" s="70" t="s">
        <v>36</v>
      </c>
      <c r="B21" s="22" t="s">
        <v>69</v>
      </c>
      <c r="C21" s="16" t="s">
        <v>70</v>
      </c>
      <c r="D21" s="2" t="s">
        <v>11</v>
      </c>
      <c r="E21" s="42">
        <v>0.5</v>
      </c>
      <c r="F21" s="21">
        <v>0</v>
      </c>
      <c r="G21" s="21">
        <v>125.24</v>
      </c>
      <c r="H21" s="21">
        <f t="shared" si="5"/>
        <v>125.24</v>
      </c>
      <c r="I21" s="82">
        <f t="shared" si="6"/>
        <v>62.62</v>
      </c>
      <c r="J21" s="43"/>
      <c r="K21" s="12"/>
      <c r="L21" s="11"/>
      <c r="M21" s="11"/>
      <c r="N21" s="11"/>
      <c r="O21" s="11"/>
      <c r="P21" s="11"/>
      <c r="Q21" s="11"/>
      <c r="R21" s="11"/>
    </row>
    <row r="22" spans="1:18">
      <c r="A22" s="70" t="s">
        <v>37</v>
      </c>
      <c r="B22" s="22" t="s">
        <v>67</v>
      </c>
      <c r="C22" s="16" t="s">
        <v>68</v>
      </c>
      <c r="D22" s="2" t="s">
        <v>57</v>
      </c>
      <c r="E22" s="42">
        <f>E21*50</f>
        <v>25</v>
      </c>
      <c r="F22" s="21">
        <v>4.96</v>
      </c>
      <c r="G22" s="21">
        <v>1.9</v>
      </c>
      <c r="H22" s="21">
        <f t="shared" si="5"/>
        <v>6.8599999999999994</v>
      </c>
      <c r="I22" s="82">
        <f t="shared" si="6"/>
        <v>171.5</v>
      </c>
      <c r="J22" s="43"/>
      <c r="K22" s="12"/>
      <c r="L22" s="11"/>
      <c r="M22" s="11"/>
      <c r="N22" s="11"/>
      <c r="O22" s="11"/>
      <c r="P22" s="11"/>
      <c r="Q22" s="11"/>
      <c r="R22" s="11"/>
    </row>
    <row r="23" spans="1:18">
      <c r="A23" s="70" t="s">
        <v>38</v>
      </c>
      <c r="B23" s="22" t="s">
        <v>116</v>
      </c>
      <c r="C23" s="16" t="s">
        <v>117</v>
      </c>
      <c r="D23" s="2" t="s">
        <v>9</v>
      </c>
      <c r="E23" s="42">
        <f>0.5*0.5*4*4</f>
        <v>4</v>
      </c>
      <c r="F23" s="21">
        <v>20.36</v>
      </c>
      <c r="G23" s="21">
        <v>42.8</v>
      </c>
      <c r="H23" s="21">
        <f t="shared" si="5"/>
        <v>63.16</v>
      </c>
      <c r="I23" s="82">
        <f t="shared" si="6"/>
        <v>252.64</v>
      </c>
      <c r="J23" s="43"/>
      <c r="K23" s="12"/>
      <c r="L23" s="11"/>
      <c r="M23" s="11"/>
      <c r="N23" s="11"/>
      <c r="O23" s="11"/>
      <c r="P23" s="11"/>
      <c r="Q23" s="11"/>
      <c r="R23" s="11"/>
    </row>
    <row r="24" spans="1:18">
      <c r="A24" s="70" t="s">
        <v>39</v>
      </c>
      <c r="B24" s="22" t="s">
        <v>56</v>
      </c>
      <c r="C24" s="16" t="s">
        <v>58</v>
      </c>
      <c r="D24" s="2" t="s">
        <v>26</v>
      </c>
      <c r="E24" s="42">
        <v>4</v>
      </c>
      <c r="F24" s="21">
        <v>92.3</v>
      </c>
      <c r="G24" s="21">
        <v>0</v>
      </c>
      <c r="H24" s="21">
        <f t="shared" ref="H24:H27" si="7">F24+G24</f>
        <v>92.3</v>
      </c>
      <c r="I24" s="82">
        <f t="shared" si="6"/>
        <v>369.2</v>
      </c>
      <c r="J24" s="43"/>
      <c r="K24" s="12"/>
      <c r="L24" s="11"/>
      <c r="M24" s="11"/>
      <c r="N24" s="11"/>
      <c r="O24" s="11"/>
      <c r="P24" s="11"/>
      <c r="Q24" s="11"/>
      <c r="R24" s="11"/>
    </row>
    <row r="25" spans="1:18">
      <c r="A25" s="70" t="s">
        <v>55</v>
      </c>
      <c r="B25" s="22" t="s">
        <v>133</v>
      </c>
      <c r="C25" s="16" t="s">
        <v>134</v>
      </c>
      <c r="D25" s="2" t="s">
        <v>11</v>
      </c>
      <c r="E25" s="42">
        <f>(0.05*0.2*4*4)*2</f>
        <v>0.32000000000000006</v>
      </c>
      <c r="F25" s="21">
        <v>12.26</v>
      </c>
      <c r="G25" s="21">
        <v>23.89</v>
      </c>
      <c r="H25" s="21">
        <f t="shared" si="7"/>
        <v>36.15</v>
      </c>
      <c r="I25" s="82">
        <f t="shared" ref="I25:I26" si="8">H25*E25</f>
        <v>11.568000000000001</v>
      </c>
      <c r="J25" s="43"/>
      <c r="K25" s="12"/>
      <c r="L25" s="11"/>
      <c r="M25" s="11"/>
      <c r="N25" s="11"/>
      <c r="O25" s="11"/>
      <c r="P25" s="11"/>
      <c r="Q25" s="11"/>
      <c r="R25" s="11"/>
    </row>
    <row r="26" spans="1:18">
      <c r="A26" s="70" t="s">
        <v>61</v>
      </c>
      <c r="B26" s="22" t="s">
        <v>18</v>
      </c>
      <c r="C26" s="16" t="s">
        <v>19</v>
      </c>
      <c r="D26" s="2" t="s">
        <v>9</v>
      </c>
      <c r="E26" s="42">
        <f>ROUNDUP(4*4*3.1415*0.1^2,0)</f>
        <v>1</v>
      </c>
      <c r="F26" s="21">
        <v>4.97</v>
      </c>
      <c r="G26" s="21">
        <v>10.41</v>
      </c>
      <c r="H26" s="21">
        <f t="shared" ref="H26" si="9">F26+G26</f>
        <v>15.379999999999999</v>
      </c>
      <c r="I26" s="82">
        <f t="shared" si="8"/>
        <v>15.379999999999999</v>
      </c>
      <c r="J26" s="43"/>
      <c r="K26" s="12"/>
      <c r="L26" s="11"/>
      <c r="M26" s="11"/>
      <c r="N26" s="11"/>
      <c r="O26" s="11"/>
      <c r="P26" s="11"/>
      <c r="Q26" s="11"/>
      <c r="R26" s="11"/>
    </row>
    <row r="27" spans="1:18">
      <c r="A27" s="70" t="s">
        <v>73</v>
      </c>
      <c r="B27" s="22" t="s">
        <v>49</v>
      </c>
      <c r="C27" s="16" t="s">
        <v>50</v>
      </c>
      <c r="D27" s="2" t="s">
        <v>51</v>
      </c>
      <c r="E27" s="42">
        <v>8</v>
      </c>
      <c r="F27" s="21"/>
      <c r="G27" s="21">
        <f>ROUNDUP(7.97*2.2672,2)</f>
        <v>18.07</v>
      </c>
      <c r="H27" s="21">
        <f t="shared" si="7"/>
        <v>18.07</v>
      </c>
      <c r="I27" s="71">
        <f t="shared" si="6"/>
        <v>144.56</v>
      </c>
      <c r="J27" s="43"/>
      <c r="K27" s="12"/>
      <c r="L27" s="11"/>
      <c r="M27" s="11"/>
      <c r="N27" s="11"/>
      <c r="O27" s="11"/>
      <c r="P27" s="11"/>
      <c r="Q27" s="11"/>
      <c r="R27" s="11"/>
    </row>
    <row r="28" spans="1:18">
      <c r="A28" s="70" t="s">
        <v>74</v>
      </c>
      <c r="B28" s="22" t="s">
        <v>135</v>
      </c>
      <c r="C28" s="16" t="s">
        <v>136</v>
      </c>
      <c r="D28" s="2" t="s">
        <v>51</v>
      </c>
      <c r="E28" s="42">
        <v>8</v>
      </c>
      <c r="F28" s="21"/>
      <c r="G28" s="21">
        <f>ROUNDUP(6.55*2.2672,2)</f>
        <v>14.86</v>
      </c>
      <c r="H28" s="21">
        <f t="shared" ref="H28" si="10">F28+G28</f>
        <v>14.86</v>
      </c>
      <c r="I28" s="71">
        <f t="shared" ref="I28" si="11">H28*E28</f>
        <v>118.88</v>
      </c>
      <c r="J28" s="43"/>
      <c r="K28" s="12"/>
      <c r="L28" s="11"/>
      <c r="M28" s="11"/>
      <c r="N28" s="11"/>
      <c r="O28" s="11"/>
      <c r="P28" s="11"/>
      <c r="Q28" s="11"/>
      <c r="R28" s="11"/>
    </row>
    <row r="29" spans="1:18">
      <c r="A29" s="76"/>
      <c r="B29" s="77"/>
      <c r="C29" s="78"/>
      <c r="D29" s="77"/>
      <c r="E29" s="79"/>
      <c r="F29" s="80"/>
      <c r="G29" s="80"/>
      <c r="H29" s="81"/>
      <c r="I29" s="71"/>
      <c r="J29" s="43"/>
      <c r="M29" s="11"/>
      <c r="N29" s="11"/>
      <c r="O29" s="11"/>
      <c r="P29" s="11"/>
      <c r="Q29" s="11"/>
      <c r="R29" s="11"/>
    </row>
    <row r="30" spans="1:18">
      <c r="A30" s="68">
        <v>4</v>
      </c>
      <c r="B30" s="10"/>
      <c r="C30" s="74" t="s">
        <v>60</v>
      </c>
      <c r="D30" s="6"/>
      <c r="E30" s="40"/>
      <c r="F30" s="75"/>
      <c r="G30" s="75"/>
      <c r="H30" s="3"/>
      <c r="I30" s="69">
        <f>SUM(I31:I35)</f>
        <v>9148.8420000000006</v>
      </c>
      <c r="J30" s="43"/>
      <c r="M30" s="11"/>
      <c r="N30" s="11"/>
      <c r="O30" s="11"/>
      <c r="P30" s="11"/>
      <c r="Q30" s="11"/>
      <c r="R30" s="11"/>
    </row>
    <row r="31" spans="1:18">
      <c r="A31" s="70" t="s">
        <v>40</v>
      </c>
      <c r="B31" s="22" t="s">
        <v>79</v>
      </c>
      <c r="C31" s="16" t="s">
        <v>80</v>
      </c>
      <c r="D31" s="2" t="s">
        <v>9</v>
      </c>
      <c r="E31" s="42">
        <f>ROUNDUP(6.5*6.5,0)</f>
        <v>43</v>
      </c>
      <c r="F31" s="21">
        <v>56.43</v>
      </c>
      <c r="G31" s="21">
        <v>41.16</v>
      </c>
      <c r="H31" s="21">
        <f>F31+G31</f>
        <v>97.59</v>
      </c>
      <c r="I31" s="82">
        <f t="shared" ref="I31:I35" si="12">H31*E31</f>
        <v>4196.37</v>
      </c>
      <c r="J31" s="43"/>
      <c r="M31" s="11"/>
      <c r="N31" s="11"/>
      <c r="O31" s="11"/>
      <c r="P31" s="11"/>
      <c r="Q31" s="11"/>
      <c r="R31" s="11"/>
    </row>
    <row r="32" spans="1:18">
      <c r="A32" s="70" t="s">
        <v>41</v>
      </c>
      <c r="B32" s="66" t="s">
        <v>100</v>
      </c>
      <c r="C32" s="67" t="s">
        <v>101</v>
      </c>
      <c r="D32" s="15" t="s">
        <v>9</v>
      </c>
      <c r="E32" s="42">
        <f>E31</f>
        <v>43</v>
      </c>
      <c r="F32" s="21">
        <v>49.95</v>
      </c>
      <c r="G32" s="21">
        <v>35.840000000000003</v>
      </c>
      <c r="H32" s="21">
        <f t="shared" ref="H32:H35" si="13">F32+G32</f>
        <v>85.79</v>
      </c>
      <c r="I32" s="82">
        <f t="shared" si="12"/>
        <v>3688.9700000000003</v>
      </c>
      <c r="J32" s="43"/>
      <c r="M32" s="11"/>
      <c r="N32" s="11"/>
      <c r="O32" s="11"/>
      <c r="P32" s="11"/>
      <c r="Q32" s="11"/>
      <c r="R32" s="11"/>
    </row>
    <row r="33" spans="1:18">
      <c r="A33" s="70" t="s">
        <v>42</v>
      </c>
      <c r="B33" s="66" t="s">
        <v>129</v>
      </c>
      <c r="C33" s="67" t="s">
        <v>130</v>
      </c>
      <c r="D33" s="15" t="s">
        <v>12</v>
      </c>
      <c r="E33" s="42">
        <f>ROUNDUP(SQRT(((6.5^2)*2))*2,0)</f>
        <v>19</v>
      </c>
      <c r="F33" s="21">
        <v>11.77</v>
      </c>
      <c r="G33" s="21">
        <v>13.17</v>
      </c>
      <c r="H33" s="21">
        <f t="shared" si="13"/>
        <v>24.939999999999998</v>
      </c>
      <c r="I33" s="82">
        <f t="shared" si="12"/>
        <v>473.85999999999996</v>
      </c>
      <c r="J33" s="43"/>
      <c r="M33" s="11"/>
      <c r="N33" s="11"/>
      <c r="O33" s="11"/>
      <c r="P33" s="11"/>
      <c r="Q33" s="11"/>
      <c r="R33" s="11"/>
    </row>
    <row r="34" spans="1:18">
      <c r="A34" s="70" t="s">
        <v>43</v>
      </c>
      <c r="B34" s="66" t="s">
        <v>131</v>
      </c>
      <c r="C34" s="67" t="s">
        <v>132</v>
      </c>
      <c r="D34" s="15" t="s">
        <v>12</v>
      </c>
      <c r="E34" s="42">
        <f>6.5*4</f>
        <v>26</v>
      </c>
      <c r="F34" s="21">
        <v>9.57</v>
      </c>
      <c r="G34" s="21">
        <v>13.17</v>
      </c>
      <c r="H34" s="21">
        <f t="shared" si="13"/>
        <v>22.740000000000002</v>
      </c>
      <c r="I34" s="82">
        <f t="shared" si="12"/>
        <v>591.24</v>
      </c>
      <c r="J34" s="43"/>
      <c r="M34" s="11"/>
      <c r="N34" s="11"/>
      <c r="O34" s="11"/>
      <c r="P34" s="11"/>
      <c r="Q34" s="11"/>
      <c r="R34" s="11"/>
    </row>
    <row r="35" spans="1:18">
      <c r="A35" s="70" t="s">
        <v>44</v>
      </c>
      <c r="B35" s="17" t="s">
        <v>18</v>
      </c>
      <c r="C35" s="16" t="s">
        <v>19</v>
      </c>
      <c r="D35" s="15" t="s">
        <v>9</v>
      </c>
      <c r="E35" s="42">
        <f>E32*0.3</f>
        <v>12.9</v>
      </c>
      <c r="F35" s="21">
        <v>4.97</v>
      </c>
      <c r="G35" s="21">
        <v>10.41</v>
      </c>
      <c r="H35" s="21">
        <f t="shared" si="13"/>
        <v>15.379999999999999</v>
      </c>
      <c r="I35" s="82">
        <f t="shared" si="12"/>
        <v>198.40199999999999</v>
      </c>
      <c r="J35" s="43"/>
      <c r="M35" s="11"/>
      <c r="N35" s="11"/>
      <c r="O35" s="11"/>
      <c r="P35" s="11"/>
      <c r="Q35" s="11"/>
      <c r="R35" s="11"/>
    </row>
    <row r="36" spans="1:18">
      <c r="A36" s="70"/>
      <c r="B36" s="18"/>
      <c r="C36" s="19"/>
      <c r="D36" s="18"/>
      <c r="E36" s="42"/>
      <c r="F36" s="21"/>
      <c r="G36" s="21"/>
      <c r="H36" s="21"/>
      <c r="I36" s="71"/>
      <c r="J36" s="43"/>
      <c r="M36" s="11"/>
      <c r="N36" s="11"/>
      <c r="O36" s="11"/>
      <c r="P36" s="11"/>
      <c r="Q36" s="11"/>
      <c r="R36" s="11"/>
    </row>
    <row r="37" spans="1:18">
      <c r="A37" s="68">
        <v>5</v>
      </c>
      <c r="B37" s="10"/>
      <c r="C37" s="74" t="s">
        <v>52</v>
      </c>
      <c r="D37" s="6"/>
      <c r="E37" s="40"/>
      <c r="F37" s="75"/>
      <c r="G37" s="75"/>
      <c r="H37" s="3"/>
      <c r="I37" s="69">
        <f>SUM(I38:I43)</f>
        <v>6440.4177500000005</v>
      </c>
      <c r="J37" s="43"/>
      <c r="M37" s="11"/>
      <c r="N37" s="11"/>
      <c r="O37" s="11"/>
      <c r="P37" s="11"/>
      <c r="Q37" s="11"/>
      <c r="R37" s="11"/>
    </row>
    <row r="38" spans="1:18">
      <c r="A38" s="70" t="s">
        <v>43</v>
      </c>
      <c r="B38" s="22" t="s">
        <v>116</v>
      </c>
      <c r="C38" s="16" t="s">
        <v>117</v>
      </c>
      <c r="D38" s="2" t="s">
        <v>9</v>
      </c>
      <c r="E38" s="42">
        <f>6.5*0.12*4</f>
        <v>3.12</v>
      </c>
      <c r="F38" s="21">
        <v>20.36</v>
      </c>
      <c r="G38" s="21">
        <v>42.8</v>
      </c>
      <c r="H38" s="21">
        <f t="shared" ref="H38" si="14">F38+G38</f>
        <v>63.16</v>
      </c>
      <c r="I38" s="82">
        <f t="shared" ref="I38" si="15">H38*E38</f>
        <v>197.0592</v>
      </c>
      <c r="J38" s="43"/>
      <c r="M38" s="11"/>
      <c r="N38" s="11"/>
      <c r="O38" s="11"/>
      <c r="P38" s="11"/>
      <c r="Q38" s="11"/>
      <c r="R38" s="11"/>
    </row>
    <row r="39" spans="1:18">
      <c r="A39" s="70" t="s">
        <v>46</v>
      </c>
      <c r="B39" s="66" t="s">
        <v>53</v>
      </c>
      <c r="C39" s="67" t="s">
        <v>54</v>
      </c>
      <c r="D39" s="15" t="s">
        <v>11</v>
      </c>
      <c r="E39" s="42">
        <f>6.5*6.5*0.12</f>
        <v>5.0699999999999994</v>
      </c>
      <c r="F39" s="21">
        <v>295.92</v>
      </c>
      <c r="G39" s="21">
        <v>315.97000000000003</v>
      </c>
      <c r="H39" s="21">
        <f t="shared" ref="H39:H42" si="16">F39+G39</f>
        <v>611.8900000000001</v>
      </c>
      <c r="I39" s="82">
        <f t="shared" ref="I39:I42" si="17">H39*E39</f>
        <v>3102.2823000000003</v>
      </c>
      <c r="J39" s="43"/>
      <c r="M39" s="11"/>
      <c r="N39" s="11"/>
      <c r="O39" s="11"/>
      <c r="P39" s="11"/>
      <c r="Q39" s="11"/>
      <c r="R39" s="11"/>
    </row>
    <row r="40" spans="1:18">
      <c r="A40" s="70" t="s">
        <v>47</v>
      </c>
      <c r="B40" s="66" t="s">
        <v>71</v>
      </c>
      <c r="C40" s="67" t="s">
        <v>72</v>
      </c>
      <c r="D40" s="15" t="s">
        <v>9</v>
      </c>
      <c r="E40" s="42">
        <f>6.5*6.5</f>
        <v>42.25</v>
      </c>
      <c r="F40" s="21">
        <v>1.86</v>
      </c>
      <c r="G40" s="21">
        <v>0.12</v>
      </c>
      <c r="H40" s="21">
        <f t="shared" si="16"/>
        <v>1.98</v>
      </c>
      <c r="I40" s="82">
        <f t="shared" si="17"/>
        <v>83.655000000000001</v>
      </c>
      <c r="J40" s="43"/>
      <c r="M40" s="11"/>
      <c r="N40" s="11"/>
      <c r="O40" s="11"/>
      <c r="P40" s="11"/>
      <c r="Q40" s="11"/>
      <c r="R40" s="11"/>
    </row>
    <row r="41" spans="1:18">
      <c r="A41" s="70" t="s">
        <v>48</v>
      </c>
      <c r="B41" s="66" t="s">
        <v>75</v>
      </c>
      <c r="C41" s="67" t="s">
        <v>76</v>
      </c>
      <c r="D41" s="15" t="s">
        <v>11</v>
      </c>
      <c r="E41" s="42">
        <f>6.5*6.5*0.1</f>
        <v>4.2250000000000005</v>
      </c>
      <c r="F41" s="21">
        <v>234.48</v>
      </c>
      <c r="G41" s="21">
        <v>234.65</v>
      </c>
      <c r="H41" s="21">
        <f t="shared" si="16"/>
        <v>469.13</v>
      </c>
      <c r="I41" s="82">
        <f t="shared" si="17"/>
        <v>1982.0742500000001</v>
      </c>
      <c r="J41" s="43"/>
      <c r="M41" s="11"/>
      <c r="N41" s="11"/>
      <c r="O41" s="11"/>
      <c r="P41" s="11"/>
      <c r="Q41" s="11"/>
      <c r="R41" s="11"/>
    </row>
    <row r="42" spans="1:18">
      <c r="A42" s="70"/>
      <c r="B42" s="66" t="s">
        <v>118</v>
      </c>
      <c r="C42" s="67" t="s">
        <v>119</v>
      </c>
      <c r="D42" s="15" t="s">
        <v>57</v>
      </c>
      <c r="E42" s="42">
        <f>30*E39</f>
        <v>152.1</v>
      </c>
      <c r="F42" s="21">
        <v>6.12</v>
      </c>
      <c r="G42" s="21">
        <v>0.95</v>
      </c>
      <c r="H42" s="21">
        <f t="shared" si="16"/>
        <v>7.07</v>
      </c>
      <c r="I42" s="82">
        <f t="shared" si="17"/>
        <v>1075.347</v>
      </c>
      <c r="J42" s="43"/>
      <c r="M42" s="11"/>
      <c r="N42" s="11"/>
      <c r="O42" s="11"/>
      <c r="P42" s="11"/>
      <c r="Q42" s="11"/>
      <c r="R42" s="11"/>
    </row>
    <row r="43" spans="1:18">
      <c r="A43" s="70"/>
      <c r="B43" s="66"/>
      <c r="C43" s="67"/>
      <c r="D43" s="15"/>
      <c r="E43" s="42"/>
      <c r="F43" s="21"/>
      <c r="G43" s="21"/>
      <c r="H43" s="21"/>
      <c r="I43" s="71"/>
      <c r="J43" s="43"/>
      <c r="K43" s="12"/>
      <c r="L43" s="11"/>
      <c r="M43" s="11"/>
      <c r="N43" s="11"/>
      <c r="O43" s="11"/>
      <c r="P43" s="11"/>
      <c r="Q43" s="11"/>
      <c r="R43" s="11"/>
    </row>
    <row r="44" spans="1:18">
      <c r="A44" s="68">
        <v>6</v>
      </c>
      <c r="B44" s="10"/>
      <c r="C44" s="74" t="s">
        <v>154</v>
      </c>
      <c r="D44" s="6"/>
      <c r="E44" s="40"/>
      <c r="F44" s="75"/>
      <c r="G44" s="75"/>
      <c r="H44" s="3"/>
      <c r="I44" s="69">
        <f>SUM(I45:I51)</f>
        <v>2235.5425</v>
      </c>
      <c r="J44" s="43"/>
      <c r="M44" s="11"/>
      <c r="N44" s="11"/>
      <c r="O44" s="11"/>
      <c r="P44" s="11"/>
      <c r="Q44" s="11"/>
      <c r="R44" s="11"/>
    </row>
    <row r="45" spans="1:18">
      <c r="A45" s="70" t="s">
        <v>81</v>
      </c>
      <c r="B45" s="66" t="s">
        <v>82</v>
      </c>
      <c r="C45" s="67" t="s">
        <v>83</v>
      </c>
      <c r="D45" s="15" t="s">
        <v>12</v>
      </c>
      <c r="E45" s="42">
        <f>2*4</f>
        <v>8</v>
      </c>
      <c r="F45" s="21">
        <v>67.73</v>
      </c>
      <c r="G45" s="21">
        <v>71.489999999999995</v>
      </c>
      <c r="H45" s="21">
        <f t="shared" ref="H45:H48" si="18">F45+G45</f>
        <v>139.22</v>
      </c>
      <c r="I45" s="82">
        <f t="shared" ref="I45:I47" si="19">H45*E45</f>
        <v>1113.76</v>
      </c>
    </row>
    <row r="46" spans="1:18">
      <c r="A46" s="70" t="s">
        <v>148</v>
      </c>
      <c r="B46" s="66" t="s">
        <v>144</v>
      </c>
      <c r="C46" s="67" t="s">
        <v>145</v>
      </c>
      <c r="D46" s="15" t="s">
        <v>9</v>
      </c>
      <c r="E46" s="42">
        <v>4.5</v>
      </c>
      <c r="F46" s="21">
        <v>61.32</v>
      </c>
      <c r="G46" s="21">
        <v>46.09</v>
      </c>
      <c r="H46" s="21">
        <f t="shared" si="18"/>
        <v>107.41</v>
      </c>
      <c r="I46" s="82">
        <f t="shared" si="19"/>
        <v>483.34499999999997</v>
      </c>
    </row>
    <row r="47" spans="1:18">
      <c r="A47" s="70" t="s">
        <v>149</v>
      </c>
      <c r="B47" s="22" t="s">
        <v>120</v>
      </c>
      <c r="C47" s="16" t="s">
        <v>121</v>
      </c>
      <c r="D47" s="2" t="s">
        <v>11</v>
      </c>
      <c r="E47" s="42">
        <f>E46*0.1</f>
        <v>0.45</v>
      </c>
      <c r="F47" s="21">
        <v>226.21</v>
      </c>
      <c r="G47" s="21">
        <v>89.1</v>
      </c>
      <c r="H47" s="21">
        <f t="shared" si="18"/>
        <v>315.31</v>
      </c>
      <c r="I47" s="82">
        <f t="shared" si="19"/>
        <v>141.8895</v>
      </c>
    </row>
    <row r="48" spans="1:18">
      <c r="A48" s="70" t="s">
        <v>150</v>
      </c>
      <c r="B48" s="22" t="s">
        <v>69</v>
      </c>
      <c r="C48" s="16" t="s">
        <v>70</v>
      </c>
      <c r="D48" s="2" t="s">
        <v>11</v>
      </c>
      <c r="E48" s="42">
        <f>E47</f>
        <v>0.45</v>
      </c>
      <c r="F48" s="21">
        <v>0</v>
      </c>
      <c r="G48" s="21">
        <v>125.24</v>
      </c>
      <c r="H48" s="21">
        <f t="shared" si="18"/>
        <v>125.24</v>
      </c>
      <c r="I48" s="82">
        <f t="shared" ref="I48" si="20">H48*E48</f>
        <v>56.357999999999997</v>
      </c>
    </row>
    <row r="49" spans="1:9">
      <c r="A49" s="70" t="s">
        <v>151</v>
      </c>
      <c r="B49" s="22" t="s">
        <v>67</v>
      </c>
      <c r="C49" s="16" t="s">
        <v>68</v>
      </c>
      <c r="D49" s="2" t="s">
        <v>57</v>
      </c>
      <c r="E49" s="42">
        <f>E48*75</f>
        <v>33.75</v>
      </c>
      <c r="F49" s="21">
        <v>4.96</v>
      </c>
      <c r="G49" s="21">
        <v>1.9</v>
      </c>
      <c r="H49" s="21">
        <f t="shared" ref="H49:H51" si="21">F49+G49</f>
        <v>6.8599999999999994</v>
      </c>
      <c r="I49" s="82">
        <f t="shared" ref="I49:I51" si="22">H49*E49</f>
        <v>231.52499999999998</v>
      </c>
    </row>
    <row r="50" spans="1:9">
      <c r="A50" s="70" t="s">
        <v>152</v>
      </c>
      <c r="B50" s="22" t="s">
        <v>146</v>
      </c>
      <c r="C50" s="16" t="s">
        <v>147</v>
      </c>
      <c r="D50" s="2" t="s">
        <v>9</v>
      </c>
      <c r="E50" s="42">
        <v>4</v>
      </c>
      <c r="F50" s="21">
        <v>3.12</v>
      </c>
      <c r="G50" s="21">
        <v>25.5</v>
      </c>
      <c r="H50" s="21">
        <f t="shared" si="21"/>
        <v>28.62</v>
      </c>
      <c r="I50" s="82">
        <f t="shared" si="22"/>
        <v>114.48</v>
      </c>
    </row>
    <row r="51" spans="1:9">
      <c r="A51" s="70" t="s">
        <v>153</v>
      </c>
      <c r="B51" s="22" t="s">
        <v>22</v>
      </c>
      <c r="C51" s="16" t="s">
        <v>23</v>
      </c>
      <c r="D51" s="2" t="s">
        <v>9</v>
      </c>
      <c r="E51" s="42">
        <f>E46</f>
        <v>4.5</v>
      </c>
      <c r="F51" s="21">
        <v>6.62</v>
      </c>
      <c r="G51" s="21">
        <v>14.31</v>
      </c>
      <c r="H51" s="21">
        <f t="shared" si="21"/>
        <v>20.93</v>
      </c>
      <c r="I51" s="82">
        <f t="shared" si="22"/>
        <v>94.185000000000002</v>
      </c>
    </row>
    <row r="52" spans="1:9">
      <c r="A52" s="70"/>
      <c r="B52" s="22"/>
      <c r="C52" s="16"/>
      <c r="D52" s="47"/>
      <c r="E52" s="42"/>
      <c r="F52" s="21"/>
      <c r="G52" s="21"/>
      <c r="H52" s="21"/>
      <c r="I52" s="82"/>
    </row>
    <row r="53" spans="1:9">
      <c r="A53" s="68">
        <v>7</v>
      </c>
      <c r="B53" s="10"/>
      <c r="C53" s="74" t="s">
        <v>137</v>
      </c>
      <c r="D53" s="6"/>
      <c r="E53" s="40"/>
      <c r="F53" s="75"/>
      <c r="G53" s="75"/>
      <c r="H53" s="3"/>
      <c r="I53" s="69">
        <f>SUM(I54:I57)</f>
        <v>1980.9</v>
      </c>
    </row>
    <row r="54" spans="1:9">
      <c r="A54" s="70" t="s">
        <v>95</v>
      </c>
      <c r="B54" s="66" t="s">
        <v>138</v>
      </c>
      <c r="C54" s="67" t="s">
        <v>139</v>
      </c>
      <c r="D54" s="15" t="s">
        <v>11</v>
      </c>
      <c r="E54" s="42">
        <f>50*0.2</f>
        <v>10</v>
      </c>
      <c r="F54" s="21">
        <v>96.01</v>
      </c>
      <c r="G54" s="21">
        <v>37.130000000000003</v>
      </c>
      <c r="H54" s="21">
        <f t="shared" ref="H54" si="23">F54+G54</f>
        <v>133.14000000000001</v>
      </c>
      <c r="I54" s="82">
        <f t="shared" ref="I54" si="24">H54*E54</f>
        <v>1331.4</v>
      </c>
    </row>
    <row r="55" spans="1:9">
      <c r="A55" s="70" t="s">
        <v>96</v>
      </c>
      <c r="B55" s="22" t="s">
        <v>140</v>
      </c>
      <c r="C55" s="16" t="s">
        <v>141</v>
      </c>
      <c r="D55" s="2" t="s">
        <v>9</v>
      </c>
      <c r="E55" s="42">
        <v>50</v>
      </c>
      <c r="F55" s="21">
        <v>0</v>
      </c>
      <c r="G55" s="21">
        <v>1.49</v>
      </c>
      <c r="H55" s="21">
        <f t="shared" ref="H55:H56" si="25">F55+G55</f>
        <v>1.49</v>
      </c>
      <c r="I55" s="82">
        <f t="shared" ref="I55:I56" si="26">H55*E55</f>
        <v>74.5</v>
      </c>
    </row>
    <row r="56" spans="1:9">
      <c r="A56" s="70" t="s">
        <v>97</v>
      </c>
      <c r="B56" s="66" t="s">
        <v>142</v>
      </c>
      <c r="C56" s="67" t="s">
        <v>143</v>
      </c>
      <c r="D56" s="15" t="s">
        <v>9</v>
      </c>
      <c r="E56" s="42">
        <v>50</v>
      </c>
      <c r="F56" s="21">
        <v>7.74</v>
      </c>
      <c r="G56" s="21">
        <v>3.76</v>
      </c>
      <c r="H56" s="21">
        <f t="shared" si="25"/>
        <v>11.5</v>
      </c>
      <c r="I56" s="82">
        <f t="shared" si="26"/>
        <v>575</v>
      </c>
    </row>
    <row r="57" spans="1:9" ht="19.5" thickBot="1">
      <c r="A57" s="139"/>
      <c r="B57" s="153"/>
      <c r="C57" s="154"/>
      <c r="D57" s="155"/>
      <c r="E57" s="142"/>
      <c r="F57" s="143"/>
      <c r="G57" s="143"/>
      <c r="H57" s="143"/>
      <c r="I57" s="144"/>
    </row>
    <row r="58" spans="1:9">
      <c r="A58" s="221" t="s">
        <v>86</v>
      </c>
      <c r="B58" s="222"/>
      <c r="C58" s="222"/>
      <c r="D58" s="222"/>
      <c r="E58" s="222"/>
      <c r="F58" s="222"/>
      <c r="G58" s="223"/>
      <c r="H58" s="224">
        <f>I6+I9+I19+I30+I37+I44+I53</f>
        <v>22807.721090000003</v>
      </c>
      <c r="I58" s="225"/>
    </row>
    <row r="59" spans="1:9">
      <c r="A59" s="226" t="s">
        <v>87</v>
      </c>
      <c r="B59" s="227"/>
      <c r="C59" s="227"/>
      <c r="D59" s="227"/>
      <c r="E59" s="227"/>
      <c r="F59" s="227"/>
      <c r="G59" s="228"/>
      <c r="H59" s="229">
        <f>H58*0.1</f>
        <v>2280.7721090000005</v>
      </c>
      <c r="I59" s="230"/>
    </row>
    <row r="60" spans="1:9">
      <c r="A60" s="226" t="s">
        <v>17</v>
      </c>
      <c r="B60" s="227"/>
      <c r="C60" s="227"/>
      <c r="D60" s="227"/>
      <c r="E60" s="227"/>
      <c r="F60" s="227"/>
      <c r="G60" s="228"/>
      <c r="H60" s="229">
        <f>(H59+H58)*0.3</f>
        <v>7526.5479597000012</v>
      </c>
      <c r="I60" s="230"/>
    </row>
    <row r="61" spans="1:9" ht="19.5" thickBot="1">
      <c r="A61" s="216" t="s">
        <v>13</v>
      </c>
      <c r="B61" s="217"/>
      <c r="C61" s="217"/>
      <c r="D61" s="217"/>
      <c r="E61" s="217"/>
      <c r="F61" s="217"/>
      <c r="G61" s="218"/>
      <c r="H61" s="219">
        <f>H58+H59+H60</f>
        <v>32615.041158700005</v>
      </c>
      <c r="I61" s="220"/>
    </row>
  </sheetData>
  <sortState ref="B11:I20">
    <sortCondition ref="B49"/>
  </sortState>
  <mergeCells count="8">
    <mergeCell ref="A61:G61"/>
    <mergeCell ref="H61:I61"/>
    <mergeCell ref="A58:G58"/>
    <mergeCell ref="H58:I58"/>
    <mergeCell ref="A59:G59"/>
    <mergeCell ref="H59:I59"/>
    <mergeCell ref="A60:G60"/>
    <mergeCell ref="H60:I60"/>
  </mergeCells>
  <printOptions horizontalCentered="1"/>
  <pageMargins left="0.39370078740157483" right="0.39370078740157483" top="1.1811023622047245" bottom="0.98425196850393704" header="0.19685039370078741" footer="0.19685039370078741"/>
  <pageSetup paperSize="9" scale="63" fitToHeight="0" orientation="landscape" r:id="rId1"/>
  <headerFooter>
    <oddHeader xml:space="preserve">&amp;C&amp;"Calibri,Regular"Parque Estadual Aguapeí
Diretoria Metropolitana Interior
&amp;A&amp;R
Planilha de Custos
Boletim CPOS 175 - MAR/2019
</oddHeader>
    <oddFooter>&amp;L&amp;"-,Negrito"Fundação Florestal&amp;"-,Regular" | Av. Prof. Frederico Hermann Jr 345 | CEP 05459-010
São Paulo, SP | Fone (11) 2997-5000 | www.fflorestal.sp.gov.br
&amp;R&amp;G</oddFooter>
  </headerFooter>
  <rowBreaks count="1" manualBreakCount="1">
    <brk id="28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"/>
  <sheetViews>
    <sheetView showGridLines="0" tabSelected="1" view="pageLayout" zoomScale="80" zoomScaleNormal="80" zoomScalePageLayoutView="80" workbookViewId="0">
      <selection activeCell="C18" sqref="C18"/>
    </sheetView>
  </sheetViews>
  <sheetFormatPr defaultRowHeight="18.75"/>
  <cols>
    <col min="1" max="1" width="9.140625" style="4"/>
    <col min="2" max="2" width="21.85546875" style="4" customWidth="1"/>
    <col min="3" max="3" width="87.5703125" style="1" customWidth="1"/>
    <col min="4" max="4" width="10" style="1" customWidth="1"/>
    <col min="5" max="5" width="12.7109375" style="41" bestFit="1" customWidth="1"/>
    <col min="6" max="9" width="15.7109375" style="5" customWidth="1"/>
    <col min="10" max="10" width="14.5703125" customWidth="1"/>
    <col min="11" max="11" width="53.5703125" style="13" customWidth="1"/>
  </cols>
  <sheetData>
    <row r="1" spans="1:19" ht="19.5" thickBot="1">
      <c r="A1" s="133" t="s">
        <v>0</v>
      </c>
      <c r="B1" s="134" t="s">
        <v>1</v>
      </c>
      <c r="C1" s="135" t="s">
        <v>2</v>
      </c>
      <c r="D1" s="134" t="s">
        <v>3</v>
      </c>
      <c r="E1" s="136" t="s">
        <v>4</v>
      </c>
      <c r="F1" s="137" t="s">
        <v>5</v>
      </c>
      <c r="G1" s="137" t="s">
        <v>6</v>
      </c>
      <c r="H1" s="137" t="s">
        <v>7</v>
      </c>
      <c r="I1" s="138" t="s">
        <v>8</v>
      </c>
      <c r="J1" s="11"/>
      <c r="K1" s="12"/>
      <c r="L1" s="11"/>
      <c r="M1" s="11"/>
      <c r="N1" s="11"/>
      <c r="O1" s="11"/>
      <c r="P1" s="11"/>
      <c r="Q1" s="11"/>
      <c r="R1" s="11"/>
      <c r="S1" s="11"/>
    </row>
    <row r="2" spans="1:19">
      <c r="A2" s="72">
        <v>7</v>
      </c>
      <c r="B2" s="64"/>
      <c r="C2" s="65" t="s">
        <v>93</v>
      </c>
      <c r="D2" s="64"/>
      <c r="E2" s="64"/>
      <c r="F2" s="64"/>
      <c r="G2" s="64"/>
      <c r="H2" s="64"/>
      <c r="I2" s="73">
        <f>SUM(I3:I7)</f>
        <v>34809.9</v>
      </c>
      <c r="J2" s="43"/>
      <c r="M2" s="11"/>
      <c r="N2" s="11"/>
      <c r="O2" s="11"/>
      <c r="P2" s="11"/>
      <c r="Q2" s="11"/>
      <c r="R2" s="11"/>
    </row>
    <row r="3" spans="1:19" ht="28.5">
      <c r="A3" s="70" t="s">
        <v>95</v>
      </c>
      <c r="B3" s="61" t="s">
        <v>56</v>
      </c>
      <c r="C3" s="63" t="s">
        <v>88</v>
      </c>
      <c r="D3" s="2" t="s">
        <v>85</v>
      </c>
      <c r="E3" s="107">
        <v>1</v>
      </c>
      <c r="F3" s="21">
        <v>11726.6</v>
      </c>
      <c r="G3" s="21">
        <v>0</v>
      </c>
      <c r="H3" s="21">
        <f>F3+G3</f>
        <v>11726.6</v>
      </c>
      <c r="I3" s="71">
        <f>H3*E3</f>
        <v>11726.6</v>
      </c>
      <c r="J3" s="43"/>
      <c r="M3" s="11"/>
      <c r="N3" s="11"/>
      <c r="O3" s="11"/>
      <c r="P3" s="11"/>
      <c r="Q3" s="11"/>
      <c r="R3" s="11"/>
    </row>
    <row r="4" spans="1:19" ht="28.5">
      <c r="A4" s="70" t="s">
        <v>96</v>
      </c>
      <c r="B4" s="61" t="s">
        <v>56</v>
      </c>
      <c r="C4" s="63" t="s">
        <v>89</v>
      </c>
      <c r="D4" s="2" t="s">
        <v>85</v>
      </c>
      <c r="E4" s="107">
        <v>1</v>
      </c>
      <c r="F4" s="21">
        <v>2476.3000000000002</v>
      </c>
      <c r="G4" s="21">
        <v>0</v>
      </c>
      <c r="H4" s="21">
        <f t="shared" ref="H4:H7" si="0">F4+G4</f>
        <v>2476.3000000000002</v>
      </c>
      <c r="I4" s="71">
        <f t="shared" ref="I4:I7" si="1">H4*E4</f>
        <v>2476.3000000000002</v>
      </c>
      <c r="J4" s="43"/>
      <c r="M4" s="11"/>
      <c r="N4" s="11"/>
      <c r="O4" s="11"/>
      <c r="P4" s="11"/>
      <c r="Q4" s="11"/>
      <c r="R4" s="11"/>
    </row>
    <row r="5" spans="1:19">
      <c r="A5" s="70" t="s">
        <v>97</v>
      </c>
      <c r="B5" s="61" t="s">
        <v>56</v>
      </c>
      <c r="C5" s="63" t="s">
        <v>90</v>
      </c>
      <c r="D5" s="17" t="s">
        <v>85</v>
      </c>
      <c r="E5" s="107">
        <v>2</v>
      </c>
      <c r="F5" s="21">
        <v>1398</v>
      </c>
      <c r="G5" s="21">
        <v>0</v>
      </c>
      <c r="H5" s="21">
        <f t="shared" si="0"/>
        <v>1398</v>
      </c>
      <c r="I5" s="71">
        <f t="shared" si="1"/>
        <v>2796</v>
      </c>
      <c r="J5" s="43"/>
      <c r="M5" s="11"/>
      <c r="N5" s="11"/>
      <c r="O5" s="11"/>
      <c r="P5" s="11"/>
      <c r="Q5" s="11"/>
      <c r="R5" s="11"/>
    </row>
    <row r="6" spans="1:19">
      <c r="A6" s="70" t="s">
        <v>98</v>
      </c>
      <c r="B6" s="61" t="s">
        <v>56</v>
      </c>
      <c r="C6" s="62" t="s">
        <v>91</v>
      </c>
      <c r="D6" s="2" t="s">
        <v>85</v>
      </c>
      <c r="E6" s="107">
        <v>2</v>
      </c>
      <c r="F6" s="21">
        <v>1500</v>
      </c>
      <c r="G6" s="21">
        <v>0</v>
      </c>
      <c r="H6" s="21">
        <f t="shared" si="0"/>
        <v>1500</v>
      </c>
      <c r="I6" s="71">
        <f t="shared" si="1"/>
        <v>3000</v>
      </c>
      <c r="J6" s="43"/>
      <c r="M6" s="11"/>
      <c r="N6" s="11"/>
      <c r="O6" s="11"/>
      <c r="P6" s="11"/>
      <c r="Q6" s="11"/>
      <c r="R6" s="11"/>
    </row>
    <row r="7" spans="1:19">
      <c r="A7" s="70" t="s">
        <v>99</v>
      </c>
      <c r="B7" s="61" t="s">
        <v>56</v>
      </c>
      <c r="C7" s="62" t="s">
        <v>92</v>
      </c>
      <c r="D7" s="2" t="s">
        <v>85</v>
      </c>
      <c r="E7" s="107">
        <v>15</v>
      </c>
      <c r="F7" s="21">
        <v>987.4</v>
      </c>
      <c r="G7" s="21">
        <v>0</v>
      </c>
      <c r="H7" s="21">
        <f t="shared" si="0"/>
        <v>987.4</v>
      </c>
      <c r="I7" s="71">
        <f t="shared" si="1"/>
        <v>14811</v>
      </c>
      <c r="J7" s="43"/>
      <c r="M7" s="11"/>
      <c r="N7" s="11"/>
      <c r="O7" s="11"/>
      <c r="P7" s="11"/>
      <c r="Q7" s="11"/>
      <c r="R7" s="11"/>
    </row>
    <row r="8" spans="1:19">
      <c r="A8" s="70"/>
      <c r="B8" s="22"/>
      <c r="C8" s="16"/>
      <c r="D8" s="47"/>
      <c r="E8" s="42"/>
      <c r="F8" s="21"/>
      <c r="G8" s="21"/>
      <c r="H8" s="21"/>
      <c r="I8" s="71"/>
      <c r="J8" s="43"/>
      <c r="M8" s="11"/>
      <c r="N8" s="11"/>
      <c r="O8" s="11"/>
      <c r="P8" s="11"/>
      <c r="Q8" s="11"/>
      <c r="R8" s="11"/>
    </row>
    <row r="9" spans="1:19" ht="19.5" thickBot="1">
      <c r="A9" s="156"/>
      <c r="B9" s="157"/>
      <c r="C9" s="158"/>
      <c r="D9" s="159"/>
      <c r="E9" s="160"/>
      <c r="F9" s="161"/>
      <c r="G9" s="161"/>
      <c r="H9" s="161"/>
      <c r="I9" s="162"/>
      <c r="J9" s="43"/>
      <c r="K9" s="12"/>
      <c r="L9" s="11"/>
      <c r="M9" s="11"/>
      <c r="N9" s="11"/>
      <c r="O9" s="11"/>
      <c r="P9" s="11"/>
      <c r="Q9" s="11"/>
      <c r="R9" s="11"/>
    </row>
    <row r="10" spans="1:19">
      <c r="A10" s="221" t="s">
        <v>86</v>
      </c>
      <c r="B10" s="222"/>
      <c r="C10" s="222"/>
      <c r="D10" s="222"/>
      <c r="E10" s="222"/>
      <c r="F10" s="222"/>
      <c r="G10" s="223"/>
      <c r="H10" s="224">
        <f>I2</f>
        <v>34809.9</v>
      </c>
      <c r="I10" s="231"/>
      <c r="J10" s="43"/>
      <c r="M10" s="11"/>
      <c r="N10" s="11"/>
      <c r="O10" s="11"/>
      <c r="P10" s="11"/>
      <c r="Q10" s="11"/>
      <c r="R10" s="11"/>
    </row>
    <row r="11" spans="1:19">
      <c r="A11" s="226" t="s">
        <v>87</v>
      </c>
      <c r="B11" s="227"/>
      <c r="C11" s="227"/>
      <c r="D11" s="227"/>
      <c r="E11" s="227"/>
      <c r="F11" s="227"/>
      <c r="G11" s="228"/>
      <c r="H11" s="229">
        <f>H10*0.1</f>
        <v>3480.9900000000002</v>
      </c>
      <c r="I11" s="230"/>
    </row>
    <row r="12" spans="1:19">
      <c r="A12" s="226" t="s">
        <v>17</v>
      </c>
      <c r="B12" s="227"/>
      <c r="C12" s="227"/>
      <c r="D12" s="227"/>
      <c r="E12" s="227"/>
      <c r="F12" s="227"/>
      <c r="G12" s="228"/>
      <c r="H12" s="229">
        <f>(H11+H10)*0.3</f>
        <v>11487.267</v>
      </c>
      <c r="I12" s="230"/>
    </row>
    <row r="13" spans="1:19" ht="19.5" thickBot="1">
      <c r="A13" s="216" t="s">
        <v>13</v>
      </c>
      <c r="B13" s="217"/>
      <c r="C13" s="217"/>
      <c r="D13" s="217"/>
      <c r="E13" s="217"/>
      <c r="F13" s="217"/>
      <c r="G13" s="218"/>
      <c r="H13" s="219">
        <f>H10+H11+H12</f>
        <v>49778.156999999999</v>
      </c>
      <c r="I13" s="220"/>
    </row>
  </sheetData>
  <mergeCells count="8">
    <mergeCell ref="A13:G13"/>
    <mergeCell ref="H13:I13"/>
    <mergeCell ref="A10:G10"/>
    <mergeCell ref="H10:I10"/>
    <mergeCell ref="A11:G11"/>
    <mergeCell ref="H11:I11"/>
    <mergeCell ref="A12:G12"/>
    <mergeCell ref="H12:I12"/>
  </mergeCells>
  <printOptions horizontalCentered="1"/>
  <pageMargins left="0.39370078740157483" right="0.39370078740157483" top="1.1811023622047245" bottom="0.98425196850393704" header="0.19685039370078741" footer="0.19685039370078741"/>
  <pageSetup paperSize="9" scale="68" fitToHeight="0" orientation="landscape" r:id="rId1"/>
  <headerFooter>
    <oddHeader xml:space="preserve">&amp;L
&amp;C&amp;"Ecofont Vera Sans,Regular"&amp;14Parque Estadual Aguapeí
Diretoria Metropolitana Interior
&amp;A&amp;R&amp;"Calibri,Negrito"
&amp;"Calibri,Regular"Planilha de Custos
Boletim CPOS 175 - MAR/2019
</oddHeader>
    <oddFooter>&amp;L&amp;"-,Negrito"Fundação Florestal&amp;"-,Regular" | Av. Prof. Frederico Hermann Jr 345 | CEP 05459-010
São Paulo, SP | Fone (11) 2997-5000 | www.fflorestal.sp.gov.br
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4</vt:i4>
      </vt:variant>
    </vt:vector>
  </HeadingPairs>
  <TitlesOfParts>
    <vt:vector size="9" baseType="lpstr">
      <vt:lpstr>Cronograma</vt:lpstr>
      <vt:lpstr>Resumo</vt:lpstr>
      <vt:lpstr>Serv. Iniciais e Complementares</vt:lpstr>
      <vt:lpstr>Quiosque</vt:lpstr>
      <vt:lpstr>Playground</vt:lpstr>
      <vt:lpstr>Resumo!Area_de_impressao</vt:lpstr>
      <vt:lpstr>Playground!Titulos_de_impressao</vt:lpstr>
      <vt:lpstr>Quiosque!Titulos_de_impressao</vt:lpstr>
      <vt:lpstr>'Serv. Iniciais e Complementares'!Titulos_de_impressao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olmarianno</dc:creator>
  <cp:lastModifiedBy>Eliana Aparecida Silva</cp:lastModifiedBy>
  <cp:lastPrinted>2019-04-25T20:02:39Z</cp:lastPrinted>
  <dcterms:created xsi:type="dcterms:W3CDTF">2017-02-03T11:23:26Z</dcterms:created>
  <dcterms:modified xsi:type="dcterms:W3CDTF">2019-06-07T18:45:13Z</dcterms:modified>
</cp:coreProperties>
</file>