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19\PREGÃO ELETRÔNICO\BID\1849-19 - MANUTENÇÃO PREDIAL ESCRITÓRIO UBATUBA\"/>
    </mc:Choice>
  </mc:AlternateContent>
  <bookViews>
    <workbookView xWindow="-15" yWindow="-15" windowWidth="27885" windowHeight="13410" tabRatio="681" firstSheet="4" activeTab="9"/>
  </bookViews>
  <sheets>
    <sheet name="Cronograma Geral" sheetId="28" r:id="rId1"/>
    <sheet name="Resumo" sheetId="36" r:id="rId2"/>
    <sheet name="Serviços Gerais" sheetId="35" r:id="rId3"/>
    <sheet name="Arquitetura" sheetId="31" r:id="rId4"/>
    <sheet name="Instalações Elétricas" sheetId="27" r:id="rId5"/>
    <sheet name="Rede de Dados e Telefonia" sheetId="29" r:id="rId6"/>
    <sheet name="Hidraulica" sheetId="37" r:id="rId7"/>
    <sheet name="Climatização" sheetId="38" r:id="rId8"/>
    <sheet name="sem cod. CPOS" sheetId="33" r:id="rId9"/>
    <sheet name="calculo BDI" sheetId="34" r:id="rId10"/>
  </sheets>
  <externalReferences>
    <externalReference r:id="rId11"/>
  </externalReferences>
  <definedNames>
    <definedName name="_xlnm.Print_Area" localSheetId="3">Arquitetura!$A$1:$K$72</definedName>
    <definedName name="_xlnm.Print_Area" localSheetId="9">'calculo BDI'!$A$1:$C$36</definedName>
    <definedName name="_xlnm.Print_Area" localSheetId="7">Climatização!$A$1:$K$33</definedName>
    <definedName name="_xlnm.Print_Area" localSheetId="0">'Cronograma Geral'!$A$1:$I$57</definedName>
    <definedName name="_xlnm.Print_Area" localSheetId="6">Hidraulica!$A$1:$K$49</definedName>
    <definedName name="_xlnm.Print_Area" localSheetId="4">'Instalações Elétricas'!$A$1:$K$105</definedName>
    <definedName name="_xlnm.Print_Area" localSheetId="5">'Rede de Dados e Telefonia'!$A$1:$K$66</definedName>
    <definedName name="_xlnm.Print_Area" localSheetId="1">Resumo!$A$1:$C$26</definedName>
    <definedName name="_xlnm.Print_Area" localSheetId="8">'sem cod. CPOS'!$A$1:$W$64</definedName>
    <definedName name="_xlnm.Print_Area" localSheetId="2">'Serviços Gerais'!$A$1:$K$32</definedName>
    <definedName name="_xlnm.Database">[1]BOLETIM!$A$1:$F$2150</definedName>
    <definedName name="_xlnm.Print_Titles" localSheetId="3">Arquitetura!$6:$7</definedName>
    <definedName name="_xlnm.Print_Titles" localSheetId="7">Climatização!$6:$7</definedName>
    <definedName name="_xlnm.Print_Titles" localSheetId="0">'Cronograma Geral'!$6:$7</definedName>
    <definedName name="_xlnm.Print_Titles" localSheetId="6">Hidraulica!$6:$7</definedName>
    <definedName name="_xlnm.Print_Titles" localSheetId="4">'Instalações Elétricas'!$6:$7</definedName>
    <definedName name="_xlnm.Print_Titles" localSheetId="5">'Rede de Dados e Telefonia'!$6:$7</definedName>
    <definedName name="_xlnm.Print_Titles" localSheetId="2">'Serviços Gerais'!$6:$7</definedName>
  </definedNames>
  <calcPr calcId="152511"/>
</workbook>
</file>

<file path=xl/calcChain.xml><?xml version="1.0" encoding="utf-8"?>
<calcChain xmlns="http://schemas.openxmlformats.org/spreadsheetml/2006/main">
  <c r="J29" i="38" l="1"/>
  <c r="N35" i="33"/>
  <c r="N38" i="33"/>
  <c r="N41" i="33"/>
  <c r="W44" i="33"/>
  <c r="W47" i="33"/>
  <c r="W50" i="33"/>
  <c r="W53" i="33"/>
  <c r="W56" i="33"/>
  <c r="W59" i="33"/>
  <c r="W62" i="33"/>
  <c r="Q41" i="33"/>
  <c r="W41" i="33" s="1"/>
  <c r="Q38" i="33"/>
  <c r="Q35" i="33"/>
  <c r="P35" i="33"/>
  <c r="C47" i="28"/>
  <c r="I9" i="38"/>
  <c r="J9" i="38" s="1"/>
  <c r="I11" i="38"/>
  <c r="J11" i="38" s="1"/>
  <c r="J10" i="38"/>
  <c r="C34" i="28"/>
  <c r="I14" i="29"/>
  <c r="J14" i="29" s="1"/>
  <c r="J13" i="29"/>
  <c r="I12" i="29"/>
  <c r="J12" i="29" s="1"/>
  <c r="I11" i="29"/>
  <c r="J11" i="29" s="1"/>
  <c r="I10" i="29"/>
  <c r="J10" i="29" s="1"/>
  <c r="I9" i="29"/>
  <c r="J9" i="29" s="1"/>
  <c r="F52" i="27"/>
  <c r="F53" i="27" s="1"/>
  <c r="F40" i="31"/>
  <c r="I16" i="35"/>
  <c r="J16" i="35" s="1"/>
  <c r="C12" i="28"/>
  <c r="J30" i="38" l="1"/>
  <c r="J31" i="38" s="1"/>
  <c r="W35" i="33"/>
  <c r="W38" i="33"/>
  <c r="D47" i="28"/>
  <c r="J8" i="29"/>
  <c r="I27" i="31"/>
  <c r="J27" i="31" s="1"/>
  <c r="F51" i="31"/>
  <c r="F62" i="31"/>
  <c r="J32" i="38" l="1"/>
  <c r="I74" i="27"/>
  <c r="F78" i="27"/>
  <c r="F77" i="27"/>
  <c r="F67" i="27"/>
  <c r="F74" i="27" l="1"/>
  <c r="J74" i="27" s="1"/>
  <c r="J69" i="27" l="1"/>
  <c r="I64" i="27"/>
  <c r="J64" i="27" s="1"/>
  <c r="I65" i="27"/>
  <c r="J65" i="27" s="1"/>
  <c r="M70" i="27"/>
  <c r="I70" i="27" l="1"/>
  <c r="J70" i="27" s="1"/>
  <c r="I71" i="27"/>
  <c r="J71" i="27" s="1"/>
  <c r="I72" i="27"/>
  <c r="J72" i="27" s="1"/>
  <c r="I73" i="27"/>
  <c r="J73" i="27" s="1"/>
  <c r="I75" i="27"/>
  <c r="J75" i="27" s="1"/>
  <c r="I76" i="27"/>
  <c r="J76" i="27" s="1"/>
  <c r="I77" i="27"/>
  <c r="J77" i="27" s="1"/>
  <c r="I78" i="27"/>
  <c r="J78" i="27" s="1"/>
  <c r="I66" i="27"/>
  <c r="J66" i="27" s="1"/>
  <c r="I63" i="27" l="1"/>
  <c r="J63" i="27" s="1"/>
  <c r="I67" i="27"/>
  <c r="J67" i="27" s="1"/>
  <c r="I68" i="27"/>
  <c r="J68" i="27" s="1"/>
  <c r="C24" i="28"/>
  <c r="I63" i="31"/>
  <c r="J63" i="31" s="1"/>
  <c r="I62" i="31"/>
  <c r="J62" i="31" s="1"/>
  <c r="C31" i="28"/>
  <c r="J61" i="31" l="1"/>
  <c r="E24" i="28" s="1"/>
  <c r="I62" i="27"/>
  <c r="J62" i="27" s="1"/>
  <c r="J61" i="27" s="1"/>
  <c r="E31" i="28" s="1"/>
  <c r="F42" i="27" l="1"/>
  <c r="F43" i="27"/>
  <c r="C27" i="28"/>
  <c r="I13" i="27"/>
  <c r="J13" i="27" s="1"/>
  <c r="I12" i="27"/>
  <c r="J12" i="27" s="1"/>
  <c r="I11" i="27"/>
  <c r="J11" i="27" s="1"/>
  <c r="I10" i="27"/>
  <c r="J10" i="27" s="1"/>
  <c r="I9" i="27"/>
  <c r="J9" i="27" s="1"/>
  <c r="J8" i="27" l="1"/>
  <c r="C15" i="28" l="1"/>
  <c r="I19" i="31"/>
  <c r="J19" i="31" s="1"/>
  <c r="I18" i="31"/>
  <c r="J18" i="31" s="1"/>
  <c r="I17" i="31"/>
  <c r="J17" i="31" s="1"/>
  <c r="C50" i="28"/>
  <c r="C49" i="28"/>
  <c r="I26" i="38"/>
  <c r="I25" i="38"/>
  <c r="I24" i="38"/>
  <c r="I23" i="38"/>
  <c r="I22" i="38"/>
  <c r="F50" i="31"/>
  <c r="F54" i="31"/>
  <c r="I52" i="31"/>
  <c r="J52" i="31" s="1"/>
  <c r="I53" i="31"/>
  <c r="J53" i="31" s="1"/>
  <c r="I54" i="31"/>
  <c r="J54" i="31" s="1"/>
  <c r="C22" i="28"/>
  <c r="I51" i="31"/>
  <c r="J51" i="31" s="1"/>
  <c r="I50" i="31"/>
  <c r="F48" i="27"/>
  <c r="I48" i="27"/>
  <c r="F28" i="27"/>
  <c r="F27" i="27"/>
  <c r="I95" i="27"/>
  <c r="I96" i="27"/>
  <c r="J96" i="27" s="1"/>
  <c r="I93" i="27"/>
  <c r="J93" i="27" s="1"/>
  <c r="I92" i="27"/>
  <c r="J92" i="27" s="1"/>
  <c r="I91" i="27"/>
  <c r="J91" i="27" s="1"/>
  <c r="F95" i="27"/>
  <c r="I94" i="27"/>
  <c r="J94" i="27" s="1"/>
  <c r="I46" i="31"/>
  <c r="J46" i="31" s="1"/>
  <c r="C21" i="28"/>
  <c r="I47" i="31"/>
  <c r="J47" i="31" s="1"/>
  <c r="C23" i="28"/>
  <c r="J95" i="27" l="1"/>
  <c r="J48" i="27"/>
  <c r="J16" i="31"/>
  <c r="J50" i="31"/>
  <c r="J49" i="31" s="1"/>
  <c r="J45" i="31"/>
  <c r="I59" i="31"/>
  <c r="J59" i="31" s="1"/>
  <c r="I58" i="31"/>
  <c r="J58" i="31" s="1"/>
  <c r="I57" i="31"/>
  <c r="J57" i="31" s="1"/>
  <c r="J56" i="31" l="1"/>
  <c r="E15" i="28"/>
  <c r="F41" i="27"/>
  <c r="I17" i="35" l="1"/>
  <c r="J17" i="35" s="1"/>
  <c r="I90" i="27"/>
  <c r="J90" i="27" s="1"/>
  <c r="I97" i="27"/>
  <c r="J97" i="27" s="1"/>
  <c r="C32" i="28"/>
  <c r="I86" i="27"/>
  <c r="J86" i="27" s="1"/>
  <c r="I87" i="27"/>
  <c r="J87" i="27" s="1"/>
  <c r="F83" i="27"/>
  <c r="F84" i="27" s="1"/>
  <c r="I82" i="27"/>
  <c r="J82" i="27" s="1"/>
  <c r="I83" i="27"/>
  <c r="I84" i="27"/>
  <c r="I85" i="27"/>
  <c r="J85" i="27" s="1"/>
  <c r="I88" i="27"/>
  <c r="J88" i="27" s="1"/>
  <c r="I89" i="27"/>
  <c r="J89" i="27" s="1"/>
  <c r="J84" i="27" l="1"/>
  <c r="J83" i="27"/>
  <c r="I38" i="27"/>
  <c r="J38" i="27" s="1"/>
  <c r="I39" i="27"/>
  <c r="J39" i="27" s="1"/>
  <c r="I40" i="27"/>
  <c r="J40" i="27" s="1"/>
  <c r="I41" i="27"/>
  <c r="I42" i="27"/>
  <c r="J42" i="27" s="1"/>
  <c r="I43" i="27"/>
  <c r="J43" i="27" s="1"/>
  <c r="J41" i="27" l="1"/>
  <c r="F33" i="27"/>
  <c r="F32" i="27"/>
  <c r="F31" i="27"/>
  <c r="I32" i="27"/>
  <c r="I33" i="27"/>
  <c r="I31" i="27"/>
  <c r="J31" i="27" l="1"/>
  <c r="J32" i="27"/>
  <c r="J33" i="27"/>
  <c r="C48" i="28"/>
  <c r="I15" i="38"/>
  <c r="F15" i="38"/>
  <c r="I14" i="38"/>
  <c r="J14" i="38" s="1"/>
  <c r="I13" i="38"/>
  <c r="J13" i="38" s="1"/>
  <c r="I27" i="38"/>
  <c r="J27" i="38" s="1"/>
  <c r="J26" i="38"/>
  <c r="J25" i="38"/>
  <c r="J24" i="38"/>
  <c r="J23" i="38"/>
  <c r="J22" i="38"/>
  <c r="I19" i="38"/>
  <c r="J19" i="38" s="1"/>
  <c r="I18" i="38"/>
  <c r="C45" i="28"/>
  <c r="C44" i="28"/>
  <c r="C43" i="28"/>
  <c r="F20" i="37"/>
  <c r="I21" i="37"/>
  <c r="I20" i="37"/>
  <c r="I22" i="37"/>
  <c r="J22" i="37" s="1"/>
  <c r="F17" i="27"/>
  <c r="I17" i="27"/>
  <c r="L29" i="33"/>
  <c r="J15" i="38" l="1"/>
  <c r="J12" i="38" s="1"/>
  <c r="J21" i="38"/>
  <c r="J18" i="38"/>
  <c r="J20" i="37"/>
  <c r="F21" i="37"/>
  <c r="J21" i="37" s="1"/>
  <c r="J17" i="27"/>
  <c r="I23" i="37"/>
  <c r="J23" i="37" s="1"/>
  <c r="C42" i="28"/>
  <c r="C41" i="28"/>
  <c r="I13" i="37"/>
  <c r="J13" i="37" s="1"/>
  <c r="F43" i="37"/>
  <c r="F33" i="37"/>
  <c r="I39" i="37"/>
  <c r="J39" i="37" s="1"/>
  <c r="I40" i="37"/>
  <c r="J40" i="37" s="1"/>
  <c r="I41" i="37"/>
  <c r="J41" i="37" s="1"/>
  <c r="I42" i="37"/>
  <c r="J42" i="37" s="1"/>
  <c r="I43" i="37"/>
  <c r="I38" i="37"/>
  <c r="J38" i="37" s="1"/>
  <c r="I34" i="37"/>
  <c r="J34" i="37" s="1"/>
  <c r="I35" i="37"/>
  <c r="J35" i="37" s="1"/>
  <c r="I30" i="37"/>
  <c r="J30" i="37" s="1"/>
  <c r="I26" i="37"/>
  <c r="J26" i="37" s="1"/>
  <c r="F17" i="37"/>
  <c r="F19" i="37" s="1"/>
  <c r="F16" i="37"/>
  <c r="I16" i="37"/>
  <c r="I17" i="37"/>
  <c r="I18" i="37"/>
  <c r="J18" i="37" s="1"/>
  <c r="I19" i="37"/>
  <c r="F11" i="37"/>
  <c r="I10" i="37"/>
  <c r="J10" i="37" s="1"/>
  <c r="I9" i="37"/>
  <c r="J9" i="37" s="1"/>
  <c r="I33" i="37"/>
  <c r="I29" i="37"/>
  <c r="J29" i="37" s="1"/>
  <c r="I28" i="37"/>
  <c r="J28" i="37" s="1"/>
  <c r="I27" i="37"/>
  <c r="J27" i="37" s="1"/>
  <c r="I12" i="37"/>
  <c r="I11" i="37"/>
  <c r="H14" i="33"/>
  <c r="G14" i="33"/>
  <c r="F14" i="33"/>
  <c r="C39" i="28"/>
  <c r="I57" i="29"/>
  <c r="J57" i="29" s="1"/>
  <c r="I58" i="29"/>
  <c r="J58" i="29" s="1"/>
  <c r="I59" i="29"/>
  <c r="J59" i="29" s="1"/>
  <c r="J33" i="37" l="1"/>
  <c r="J32" i="37" s="1"/>
  <c r="E48" i="28"/>
  <c r="J17" i="38"/>
  <c r="J25" i="37"/>
  <c r="J43" i="37"/>
  <c r="J37" i="37" s="1"/>
  <c r="J12" i="37"/>
  <c r="J17" i="37"/>
  <c r="J16" i="37"/>
  <c r="J19" i="37"/>
  <c r="J11" i="37"/>
  <c r="I60" i="29"/>
  <c r="J60" i="29" s="1"/>
  <c r="I56" i="29"/>
  <c r="J56" i="29" s="1"/>
  <c r="I55" i="29"/>
  <c r="J55" i="29" s="1"/>
  <c r="I54" i="29"/>
  <c r="J54" i="29" s="1"/>
  <c r="F50" i="28" l="1"/>
  <c r="F49" i="28"/>
  <c r="J8" i="37"/>
  <c r="J15" i="37"/>
  <c r="J53" i="29"/>
  <c r="F39" i="28" s="1"/>
  <c r="F9" i="31"/>
  <c r="F22" i="35" s="1"/>
  <c r="F43" i="31"/>
  <c r="I13" i="31"/>
  <c r="J13" i="31" s="1"/>
  <c r="I14" i="31"/>
  <c r="J14" i="31" s="1"/>
  <c r="I18" i="35"/>
  <c r="J18" i="35" s="1"/>
  <c r="I40" i="29"/>
  <c r="J40" i="29" s="1"/>
  <c r="F26" i="33"/>
  <c r="H26" i="33"/>
  <c r="I26" i="33"/>
  <c r="H23" i="33"/>
  <c r="I23" i="33"/>
  <c r="F23" i="33"/>
  <c r="H20" i="33"/>
  <c r="F20" i="33"/>
  <c r="I51" i="29"/>
  <c r="J51" i="29" s="1"/>
  <c r="I10" i="35"/>
  <c r="J10" i="35" s="1"/>
  <c r="I11" i="35"/>
  <c r="J11" i="35" s="1"/>
  <c r="J45" i="37" l="1"/>
  <c r="F12" i="31"/>
  <c r="F23" i="35" s="1"/>
  <c r="C11" i="28"/>
  <c r="C10" i="28"/>
  <c r="C9" i="28"/>
  <c r="I27" i="35"/>
  <c r="J27" i="35" s="1"/>
  <c r="I26" i="35"/>
  <c r="J26" i="35" s="1"/>
  <c r="I23" i="35"/>
  <c r="I22" i="35"/>
  <c r="I19" i="35"/>
  <c r="J19" i="35" s="1"/>
  <c r="I15" i="35"/>
  <c r="J15" i="35" s="1"/>
  <c r="I14" i="35"/>
  <c r="J14" i="35" s="1"/>
  <c r="I9" i="35"/>
  <c r="J9" i="35" s="1"/>
  <c r="J8" i="35" s="1"/>
  <c r="C36" i="34"/>
  <c r="C15" i="34"/>
  <c r="C14" i="34"/>
  <c r="C12" i="34"/>
  <c r="C10" i="34"/>
  <c r="C8" i="34"/>
  <c r="B46" i="37" l="1"/>
  <c r="B100" i="27"/>
  <c r="B30" i="35"/>
  <c r="E55" i="28"/>
  <c r="B30" i="38"/>
  <c r="B63" i="29"/>
  <c r="B69" i="31"/>
  <c r="B23" i="36"/>
  <c r="J46" i="37"/>
  <c r="J22" i="35"/>
  <c r="J23" i="35"/>
  <c r="J25" i="35"/>
  <c r="F12" i="28" s="1"/>
  <c r="J13" i="35"/>
  <c r="C26" i="34"/>
  <c r="F59" i="27"/>
  <c r="I59" i="27"/>
  <c r="J47" i="37" l="1"/>
  <c r="J48" i="37" s="1"/>
  <c r="B31" i="38"/>
  <c r="B64" i="29"/>
  <c r="B70" i="31"/>
  <c r="B24" i="36"/>
  <c r="B47" i="37"/>
  <c r="B101" i="27"/>
  <c r="B31" i="35"/>
  <c r="L47" i="37"/>
  <c r="L31" i="35"/>
  <c r="L64" i="29"/>
  <c r="I56" i="28"/>
  <c r="E56" i="28" s="1"/>
  <c r="J21" i="35"/>
  <c r="E11" i="28" s="1"/>
  <c r="D10" i="28"/>
  <c r="F10" i="28" s="1"/>
  <c r="J59" i="27"/>
  <c r="I53" i="27"/>
  <c r="J53" i="27" s="1"/>
  <c r="I52" i="27"/>
  <c r="J52" i="27" s="1"/>
  <c r="I54" i="27"/>
  <c r="J54" i="27" s="1"/>
  <c r="W32" i="33"/>
  <c r="W29" i="33"/>
  <c r="W26" i="33"/>
  <c r="W23" i="33"/>
  <c r="W20" i="33"/>
  <c r="W17" i="33"/>
  <c r="W14" i="33"/>
  <c r="W11" i="33"/>
  <c r="W8" i="33"/>
  <c r="W5" i="33"/>
  <c r="J29" i="35" l="1"/>
  <c r="I81" i="27"/>
  <c r="I37" i="27"/>
  <c r="J37" i="27" s="1"/>
  <c r="I44" i="27"/>
  <c r="J44" i="27" s="1"/>
  <c r="I45" i="27"/>
  <c r="J45" i="27" s="1"/>
  <c r="I46" i="27"/>
  <c r="J46" i="27" s="1"/>
  <c r="I47" i="27"/>
  <c r="J47" i="27" s="1"/>
  <c r="I36" i="27"/>
  <c r="J36" i="27" s="1"/>
  <c r="I35" i="27"/>
  <c r="J35" i="27" s="1"/>
  <c r="I34" i="27"/>
  <c r="J34" i="27" s="1"/>
  <c r="I19" i="27"/>
  <c r="J19" i="27" s="1"/>
  <c r="I20" i="27"/>
  <c r="J20" i="27" s="1"/>
  <c r="I21" i="27"/>
  <c r="J21" i="27" s="1"/>
  <c r="I22" i="27"/>
  <c r="J22" i="27" s="1"/>
  <c r="I23" i="27"/>
  <c r="J23" i="27" s="1"/>
  <c r="I24" i="27"/>
  <c r="J24" i="27" s="1"/>
  <c r="I25" i="27"/>
  <c r="J25" i="27" s="1"/>
  <c r="I26" i="27"/>
  <c r="J26" i="27" s="1"/>
  <c r="I27" i="27"/>
  <c r="J27" i="27" s="1"/>
  <c r="I28" i="27"/>
  <c r="J28" i="27" s="1"/>
  <c r="I18" i="27"/>
  <c r="J18" i="27" s="1"/>
  <c r="I16" i="27"/>
  <c r="J16" i="27" s="1"/>
  <c r="I55" i="27"/>
  <c r="J55" i="27" s="1"/>
  <c r="I56" i="27"/>
  <c r="J56" i="27" s="1"/>
  <c r="I57" i="27"/>
  <c r="J57" i="27" s="1"/>
  <c r="I58" i="27"/>
  <c r="J58" i="27" s="1"/>
  <c r="I51" i="27"/>
  <c r="J30" i="35" l="1"/>
  <c r="J31" i="35" s="1"/>
  <c r="J81" i="27"/>
  <c r="J80" i="27" s="1"/>
  <c r="J30" i="27"/>
  <c r="J15" i="27"/>
  <c r="J32" i="35" l="1"/>
  <c r="I66" i="31"/>
  <c r="J66" i="31" s="1"/>
  <c r="I43" i="31"/>
  <c r="J43" i="31" s="1"/>
  <c r="I42" i="31"/>
  <c r="J42" i="31" s="1"/>
  <c r="I41" i="31"/>
  <c r="J41" i="31" s="1"/>
  <c r="I40" i="31"/>
  <c r="J40" i="31" s="1"/>
  <c r="I39" i="31"/>
  <c r="J39" i="31" s="1"/>
  <c r="I36" i="31"/>
  <c r="J36" i="31" s="1"/>
  <c r="I33" i="31"/>
  <c r="J33" i="31" s="1"/>
  <c r="I32" i="31"/>
  <c r="J32" i="31" s="1"/>
  <c r="I29" i="31"/>
  <c r="J29" i="31" s="1"/>
  <c r="I28" i="31"/>
  <c r="J28" i="31" s="1"/>
  <c r="I26" i="31"/>
  <c r="J26" i="31" s="1"/>
  <c r="I25" i="31"/>
  <c r="J25" i="31" s="1"/>
  <c r="I22" i="31"/>
  <c r="J22" i="31" s="1"/>
  <c r="I12" i="31"/>
  <c r="J12" i="31" s="1"/>
  <c r="I11" i="31"/>
  <c r="J11" i="31" s="1"/>
  <c r="I10" i="31"/>
  <c r="J10" i="31" s="1"/>
  <c r="I9" i="31"/>
  <c r="J9" i="31" s="1"/>
  <c r="I50" i="29"/>
  <c r="J50" i="29" s="1"/>
  <c r="I49" i="29"/>
  <c r="J49" i="29" s="1"/>
  <c r="I48" i="29"/>
  <c r="J48" i="29" s="1"/>
  <c r="I45" i="29"/>
  <c r="J45" i="29" s="1"/>
  <c r="I43" i="29"/>
  <c r="J43" i="29" s="1"/>
  <c r="I39" i="29"/>
  <c r="J39" i="29" s="1"/>
  <c r="I38" i="29"/>
  <c r="J38" i="29" s="1"/>
  <c r="I37" i="29"/>
  <c r="J37" i="29" s="1"/>
  <c r="I36" i="29"/>
  <c r="J36" i="29" s="1"/>
  <c r="I35" i="29"/>
  <c r="J35" i="29" s="1"/>
  <c r="I34" i="29"/>
  <c r="J34" i="29" s="1"/>
  <c r="I33" i="29"/>
  <c r="J33" i="29" s="1"/>
  <c r="I32" i="29"/>
  <c r="J32" i="29" s="1"/>
  <c r="I31" i="29"/>
  <c r="J31" i="29" s="1"/>
  <c r="I30" i="29"/>
  <c r="J30" i="29" s="1"/>
  <c r="I29" i="29"/>
  <c r="J29" i="29" s="1"/>
  <c r="I28" i="29"/>
  <c r="J28" i="29" s="1"/>
  <c r="I27" i="29"/>
  <c r="J27" i="29" s="1"/>
  <c r="I26" i="29"/>
  <c r="J26" i="29" s="1"/>
  <c r="I23" i="29"/>
  <c r="J23" i="29" s="1"/>
  <c r="I22" i="29"/>
  <c r="J22" i="29" s="1"/>
  <c r="I21" i="29"/>
  <c r="J21" i="29" s="1"/>
  <c r="I20" i="29"/>
  <c r="J20" i="29" s="1"/>
  <c r="I19" i="29"/>
  <c r="J19" i="29" s="1"/>
  <c r="I18" i="29"/>
  <c r="J18" i="29" s="1"/>
  <c r="I17" i="29"/>
  <c r="J17" i="29" s="1"/>
  <c r="I16" i="29"/>
  <c r="J16" i="29" s="1"/>
  <c r="F29" i="28" l="1"/>
  <c r="J47" i="29"/>
  <c r="J25" i="29"/>
  <c r="J8" i="31"/>
  <c r="J38" i="31"/>
  <c r="I44" i="29"/>
  <c r="J44" i="29" s="1"/>
  <c r="J42" i="29" s="1"/>
  <c r="J35" i="31" l="1"/>
  <c r="J65" i="31" l="1"/>
  <c r="J21" i="31" l="1"/>
  <c r="J31" i="31"/>
  <c r="J24" i="31"/>
  <c r="C38" i="28"/>
  <c r="C37" i="28"/>
  <c r="C36" i="28"/>
  <c r="C35" i="28"/>
  <c r="C30" i="28"/>
  <c r="C29" i="28"/>
  <c r="C28" i="28"/>
  <c r="J15" i="29"/>
  <c r="J51" i="27"/>
  <c r="J50" i="27" s="1"/>
  <c r="J99" i="27" s="1"/>
  <c r="J100" i="27" l="1"/>
  <c r="J68" i="31"/>
  <c r="D52" i="28"/>
  <c r="F30" i="28"/>
  <c r="F38" i="28"/>
  <c r="F36" i="28"/>
  <c r="F37" i="28"/>
  <c r="J69" i="31" l="1"/>
  <c r="J70" i="31" s="1"/>
  <c r="J101" i="27"/>
  <c r="J102" i="27" s="1"/>
  <c r="J71" i="31" l="1"/>
  <c r="F52" i="28" l="1"/>
  <c r="E52" i="28"/>
  <c r="C22" i="36"/>
  <c r="C23" i="36" s="1"/>
  <c r="C24" i="36" s="1"/>
  <c r="G54" i="28" l="1"/>
  <c r="H34" i="28" l="1"/>
  <c r="H47" i="28"/>
  <c r="H24" i="28"/>
  <c r="G55" i="28"/>
  <c r="G56" i="28" s="1"/>
  <c r="H27" i="28"/>
  <c r="H28" i="28"/>
  <c r="H29" i="28"/>
  <c r="H14" i="28"/>
  <c r="H15" i="28"/>
  <c r="H50" i="28"/>
  <c r="H49" i="28"/>
  <c r="H23" i="28"/>
  <c r="H22" i="28"/>
  <c r="H21" i="28"/>
  <c r="H25" i="28"/>
  <c r="H26" i="28"/>
  <c r="C25" i="36"/>
  <c r="H40" i="28"/>
  <c r="H36" i="28"/>
  <c r="H19" i="28"/>
  <c r="H9" i="28"/>
  <c r="H30" i="28"/>
  <c r="H48" i="28"/>
  <c r="H43" i="28"/>
  <c r="H11" i="28"/>
  <c r="H12" i="28"/>
  <c r="H41" i="28"/>
  <c r="H10" i="28"/>
  <c r="H32" i="28"/>
  <c r="H33" i="28"/>
  <c r="H16" i="28"/>
  <c r="H46" i="28"/>
  <c r="H35" i="28"/>
  <c r="H42" i="28"/>
  <c r="H20" i="28"/>
  <c r="H45" i="28"/>
  <c r="H38" i="28"/>
  <c r="H8" i="28"/>
  <c r="H39" i="28"/>
  <c r="H17" i="28"/>
  <c r="H44" i="28"/>
  <c r="H13" i="28"/>
  <c r="H37" i="28"/>
  <c r="H18" i="28"/>
  <c r="G57" i="28" l="1"/>
  <c r="H31" i="28"/>
  <c r="H54" i="28"/>
</calcChain>
</file>

<file path=xl/sharedStrings.xml><?xml version="1.0" encoding="utf-8"?>
<sst xmlns="http://schemas.openxmlformats.org/spreadsheetml/2006/main" count="1111" uniqueCount="601">
  <si>
    <t xml:space="preserve"> </t>
  </si>
  <si>
    <t>m²</t>
  </si>
  <si>
    <t>Item</t>
  </si>
  <si>
    <t>Descrição</t>
  </si>
  <si>
    <t>Un</t>
  </si>
  <si>
    <t>Quant</t>
  </si>
  <si>
    <t>Total</t>
  </si>
  <si>
    <t>Total + BDI</t>
  </si>
  <si>
    <t>MObra</t>
  </si>
  <si>
    <t>Serv</t>
  </si>
  <si>
    <t>Cod. CPOS</t>
  </si>
  <si>
    <t>Material</t>
  </si>
  <si>
    <t>Valor R$</t>
  </si>
  <si>
    <t>Percentual</t>
  </si>
  <si>
    <t>01</t>
  </si>
  <si>
    <t>02</t>
  </si>
  <si>
    <t>03</t>
  </si>
  <si>
    <t>Valor Mensal</t>
  </si>
  <si>
    <t>Placa de identificação para obra (3,0x1,5m + 1,0x1,5m)</t>
  </si>
  <si>
    <t>1.1</t>
  </si>
  <si>
    <t>Caixas e Eletrodutos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</si>
  <si>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</si>
  <si>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</si>
  <si>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</si>
  <si>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</si>
  <si>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</si>
  <si>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</si>
  <si>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</si>
  <si>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</si>
  <si>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</si>
  <si>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3.3</t>
  </si>
  <si>
    <t>1.2</t>
  </si>
  <si>
    <t>1.3</t>
  </si>
  <si>
    <t>Luminárias</t>
  </si>
  <si>
    <t>un</t>
  </si>
  <si>
    <t>S/ Cód.</t>
  </si>
  <si>
    <t>2.8</t>
  </si>
  <si>
    <t>2.9</t>
  </si>
  <si>
    <t>2.10</t>
  </si>
  <si>
    <t>2.11</t>
  </si>
  <si>
    <t>Fiação, Interruptores e Tomadas</t>
  </si>
  <si>
    <t>m</t>
  </si>
  <si>
    <t>3.4</t>
  </si>
  <si>
    <t>3.5</t>
  </si>
  <si>
    <t>cj</t>
  </si>
  <si>
    <t>1.4</t>
  </si>
  <si>
    <t>1.5</t>
  </si>
  <si>
    <t>1.6</t>
  </si>
  <si>
    <t>2.12</t>
  </si>
  <si>
    <t>Condulete em PVC 4x4 de 1´ - com tampa</t>
  </si>
  <si>
    <t>Condulete em PVC 4x2 de 3/4´ - com tampa</t>
  </si>
  <si>
    <t>Eletroduto de PVC rígido roscável de 3/4´ - com acessórios</t>
  </si>
  <si>
    <t>Eletroduto de PVC rígido roscável de 1´ - com acessórios</t>
  </si>
  <si>
    <t>Eletroduto de PVC rígido roscável de 1 1/4´ - com acessórios</t>
  </si>
  <si>
    <t>Eletroduto de PVC rígido roscável de 2´ - com acessórios</t>
  </si>
  <si>
    <t>Caixa de passagem em PVC, com tampa parafusada, 150 x 150 x 80 mm</t>
  </si>
  <si>
    <t>Patch panel de 24 portas - categoria 6</t>
  </si>
  <si>
    <t>Voice panel de 50 portas - categoria 3</t>
  </si>
  <si>
    <t>Cabo para rede 24 AWG com 4 pares, categoria 6</t>
  </si>
  <si>
    <t>Cabo coaxial tipo RG 6</t>
  </si>
  <si>
    <t>Cabos e Conectores</t>
  </si>
  <si>
    <t>Tomada RJ 45 para rede de dados, com placa</t>
  </si>
  <si>
    <t>Tomada RJ 11 para telefone, sem placa</t>
  </si>
  <si>
    <t>Central Telefônica</t>
  </si>
  <si>
    <t>Guia organizadora de cabos para rack, 19´ 1 U</t>
  </si>
  <si>
    <t>Rack fechado padrão metálico, 19' x 12 Us x 470 mm</t>
  </si>
  <si>
    <t>Equipamentos de Rede</t>
  </si>
  <si>
    <t>4.1</t>
  </si>
  <si>
    <t>4.2</t>
  </si>
  <si>
    <t>Cabo telefônico CI, com 50 pares de 0,50 mm, para centrais telefônicas, equipamentos e rede interna</t>
  </si>
  <si>
    <t>Cabo telefônico secundário de distribuição CTP-APL, com 10 pares de 0,50 mm, para rede externa</t>
  </si>
  <si>
    <t>2.13</t>
  </si>
  <si>
    <t>Bloco de distribuição com protetor de surtos, para 10 pares, BTDG-10</t>
  </si>
  <si>
    <t>Conector RJ 45 macho, cat 6</t>
  </si>
  <si>
    <t>Conector RJ 11 macho</t>
  </si>
  <si>
    <t>Conector RG 6</t>
  </si>
  <si>
    <t>Serviços</t>
  </si>
  <si>
    <t>Arquitetura</t>
  </si>
  <si>
    <t>Instalações Elétricas</t>
  </si>
  <si>
    <t>Rede Dados e Telefonia</t>
  </si>
  <si>
    <t>Mêses</t>
  </si>
  <si>
    <t>Custo por Serviço</t>
  </si>
  <si>
    <t>Demolição</t>
  </si>
  <si>
    <t>Pintura- Externa</t>
  </si>
  <si>
    <t>Tinta acrílica antimofo em massa, inclusive preparo</t>
  </si>
  <si>
    <t xml:space="preserve">Pintura- Interna </t>
  </si>
  <si>
    <t xml:space="preserve">Divisórias </t>
  </si>
  <si>
    <t>Retirada de divisória em placa de madeira ou fibrocimento tarugada</t>
  </si>
  <si>
    <t xml:space="preserve">Cobertura </t>
  </si>
  <si>
    <t>Retirada de telhamento em barro</t>
  </si>
  <si>
    <t>5.1</t>
  </si>
  <si>
    <t>Pintura Externa</t>
  </si>
  <si>
    <t>Pintura Interna</t>
  </si>
  <si>
    <t>Divisórias</t>
  </si>
  <si>
    <t>Remoção de calha ou rufo</t>
  </si>
  <si>
    <t>Retirada de telhamento perfil e material qualquer, exceto barro</t>
  </si>
  <si>
    <t xml:space="preserve">Pintura externa </t>
  </si>
  <si>
    <t>Divisória</t>
  </si>
  <si>
    <t xml:space="preserve">Pintura interna </t>
  </si>
  <si>
    <t>Porta em laminado fenólico melamínico com acabamento liso, batente de madeira sem revestimento - 82 x 210 cm</t>
  </si>
  <si>
    <t>5.2</t>
  </si>
  <si>
    <t>Divisória painel/vidro/vidro tipo naval, acabamento em laminado fenólico melamínico, com 3,5 cm</t>
  </si>
  <si>
    <t>Limpeza</t>
  </si>
  <si>
    <t>Limpeza final da obra</t>
  </si>
  <si>
    <t>Resina acrílica plastificante</t>
  </si>
  <si>
    <t>Barrado</t>
  </si>
  <si>
    <t>Sistema ininterrupto de energia, monofásico de 600 VA (127 V/127 V), com autonomia de 10 a 15 minutos</t>
  </si>
  <si>
    <t>4.3</t>
  </si>
  <si>
    <t>Massa corrida de base acrílica</t>
  </si>
  <si>
    <t>Esmalte em superfície metálica, inclusive preparo</t>
  </si>
  <si>
    <t>4.4</t>
  </si>
  <si>
    <t>Verniz em superfície de madeira</t>
  </si>
  <si>
    <t>Tubo de PVC rígido soldável marrom, DN= 20 mm, (1/4´), inclusive conexões</t>
  </si>
  <si>
    <t> 461001</t>
  </si>
  <si>
    <t>Tubo de cobre classe A, DN= 15mm (1/2´), inclusive conexões</t>
  </si>
  <si>
    <t> 321127</t>
  </si>
  <si>
    <t>Isolamento térmico em espuma elastomérica, espessura de 9 a 12 mm, para tubulação de 1/4´ (cobre)</t>
  </si>
  <si>
    <t>02.08.020</t>
  </si>
  <si>
    <t>04.03.020</t>
  </si>
  <si>
    <t>04.01.020</t>
  </si>
  <si>
    <t>04.03.040</t>
  </si>
  <si>
    <t>33.02.060</t>
  </si>
  <si>
    <t>33.05.330</t>
  </si>
  <si>
    <t>33.10.030</t>
  </si>
  <si>
    <t>33.11.050</t>
  </si>
  <si>
    <t>14.30.230</t>
  </si>
  <si>
    <t>23.04.100</t>
  </si>
  <si>
    <t>33.03.740</t>
  </si>
  <si>
    <t>Cobertura de 236,54m²</t>
  </si>
  <si>
    <t>15.01.020</t>
  </si>
  <si>
    <t>Estrutura de madeira tesourada para telha de barro - vãos de 7,01 a 10,00 m</t>
  </si>
  <si>
    <t>16.33.052</t>
  </si>
  <si>
    <t>Calha, rufo, afins em chapa galvanizada nº 24 - corte 0,50 m</t>
  </si>
  <si>
    <t>16.02.230</t>
  </si>
  <si>
    <t>16.02.010</t>
  </si>
  <si>
    <t>55.01.020</t>
  </si>
  <si>
    <t>46.01.010</t>
  </si>
  <si>
    <t>16.02.270</t>
  </si>
  <si>
    <t>Espigão de barro emboçado</t>
  </si>
  <si>
    <t>66.08.100</t>
  </si>
  <si>
    <t>40.06.510</t>
  </si>
  <si>
    <t>38.01.040</t>
  </si>
  <si>
    <t>38.01.060</t>
  </si>
  <si>
    <t>38.01.080</t>
  </si>
  <si>
    <t>38.01.120</t>
  </si>
  <si>
    <t>40.02.040</t>
  </si>
  <si>
    <t>39.18.126</t>
  </si>
  <si>
    <t>39.11.020</t>
  </si>
  <si>
    <t>39.11.080</t>
  </si>
  <si>
    <t>39.18.100</t>
  </si>
  <si>
    <t>69.09.260</t>
  </si>
  <si>
    <t>69.09.300</t>
  </si>
  <si>
    <t>66.20.150</t>
  </si>
  <si>
    <t>40.04.090</t>
  </si>
  <si>
    <t>40.04.096</t>
  </si>
  <si>
    <t>69.20.300</t>
  </si>
  <si>
    <t>69.03.400</t>
  </si>
  <si>
    <t>Central PABX híbrida de telefonia para 8 linhas tronco e 24 ramais digital e analógico</t>
  </si>
  <si>
    <t>69.06.110</t>
  </si>
  <si>
    <t>66.20.221</t>
  </si>
  <si>
    <t>Switch Gigabit para servidor central com 24 portas frontais e 2 portas SFP, capacidade de 10/100/1000 Mbps</t>
  </si>
  <si>
    <t>Cobertura</t>
  </si>
  <si>
    <t>B.01.000.010117</t>
  </si>
  <si>
    <t>Eletrotenico Montador - Instalação e programação de Central Telefônica</t>
  </si>
  <si>
    <t>h</t>
  </si>
  <si>
    <t>Cumeeira de barro emboçado tipos romana</t>
  </si>
  <si>
    <t>Telha cerâmica tipo romana</t>
  </si>
  <si>
    <t>Luminaria de sobrepor Hermética com corpo e presilhas em PVC grau de proteção minimo IP 65, para lampada LED tubular T8</t>
  </si>
  <si>
    <t>Custo insumo</t>
  </si>
  <si>
    <t>Fornecedores</t>
  </si>
  <si>
    <t>Custo Medio</t>
  </si>
  <si>
    <t>Americanas</t>
  </si>
  <si>
    <t>Leroy Merlin</t>
  </si>
  <si>
    <t>s/ cod. 1</t>
  </si>
  <si>
    <t>s/ cod. 2</t>
  </si>
  <si>
    <t>s/ cod. 3</t>
  </si>
  <si>
    <t>s/ cod. 4</t>
  </si>
  <si>
    <t>s/ cod. 5</t>
  </si>
  <si>
    <t>s/ cod. 6</t>
  </si>
  <si>
    <t>s/ cod. 7</t>
  </si>
  <si>
    <t>s/ cod. 8</t>
  </si>
  <si>
    <t>s/ cod. 9</t>
  </si>
  <si>
    <t>s/ cod. 10</t>
  </si>
  <si>
    <t>s/ cod. 11</t>
  </si>
  <si>
    <t>s/ cod. 12</t>
  </si>
  <si>
    <t>s/ cod. 13</t>
  </si>
  <si>
    <t>s/ cod. 14</t>
  </si>
  <si>
    <t>s/ cod. 15</t>
  </si>
  <si>
    <t>s/ cod. 16</t>
  </si>
  <si>
    <t>s/ cod. 17</t>
  </si>
  <si>
    <t>s/ cod. 18</t>
  </si>
  <si>
    <t>s/ cod. 19</t>
  </si>
  <si>
    <t>s/ cod. 20</t>
  </si>
  <si>
    <t>Copafer</t>
  </si>
  <si>
    <t>LedMax</t>
  </si>
  <si>
    <t>41.02.541</t>
  </si>
  <si>
    <t>Lâmpada LED tubular T8 com base G13, de 900 até 1050 Im - 9 a 10W</t>
  </si>
  <si>
    <t>B.01.000.010115</t>
  </si>
  <si>
    <t>B.01.000.010116</t>
  </si>
  <si>
    <t>3.6</t>
  </si>
  <si>
    <t>3.7</t>
  </si>
  <si>
    <t>3.8</t>
  </si>
  <si>
    <t>Ajudante eletricista - instalação luminarias</t>
  </si>
  <si>
    <t>41.02.551</t>
  </si>
  <si>
    <t>Lâmpada LED tubular T8 com base G13, de 1850 até 2000 Im - 18 a 20W</t>
  </si>
  <si>
    <t>41.02.562</t>
  </si>
  <si>
    <t>Lâmpada LED tubular T8 com base G13, de 3400 até 4000 Im - 36 a 40W</t>
  </si>
  <si>
    <t>41.20.080</t>
  </si>
  <si>
    <t>Plafon plástico e/ou PVC para acabamento de ponto de luz, com soquete E-27</t>
  </si>
  <si>
    <t>Lâmpada LED 4W a 5W, com base e-27, 380 até 500lm</t>
  </si>
  <si>
    <t>3.9</t>
  </si>
  <si>
    <t>3.10</t>
  </si>
  <si>
    <t>Roteador WiFi, padrão 802.11 AC - 1200Mbps</t>
  </si>
  <si>
    <t>Extra</t>
  </si>
  <si>
    <t>DEMONSTRATIVO DE COMPOSIÇÃO DO BDI</t>
  </si>
  <si>
    <t>Componentes do BDI indicado pelo Acordão TCU-Plenario nº2622/2013 para obras de "Construção de edificios"</t>
  </si>
  <si>
    <t>Quartil a ser adotado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</si>
  <si>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</si>
  <si>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</si>
  <si>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</si>
  <si>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</si>
  <si>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</si>
  <si>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Despesas Financeiras</t>
  </si>
  <si>
    <t>PARCELAS RELATIVAS A SEGUROS, RISCOS E GARANTIAS DE OBRA</t>
  </si>
  <si>
    <t>Seguros + Garantias</t>
  </si>
  <si>
    <t>Riscos</t>
  </si>
  <si>
    <t>PARCELAS RELATIVAS À INCIDENCIA DE TRIBUTOS</t>
  </si>
  <si>
    <t>Imposto sobre Serviços - ISS</t>
  </si>
  <si>
    <t>Inserir aliquota do Municipio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</si>
  <si>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</si>
  <si>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</si>
  <si>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</si>
  <si>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</si>
  <si>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</si>
  <si>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r>
      <t xml:space="preserve">BDI = </t>
    </r>
    <r>
      <rPr>
        <u/>
        <sz val="11"/>
        <color theme="1"/>
        <rFont val="Calibri"/>
        <family val="2"/>
        <scheme val="minor"/>
      </rPr>
      <t>(1+("2.1"+"4.1"+"4.2"))x(1+"3.1")x(1+"1.1")</t>
    </r>
    <r>
      <rPr>
        <sz val="10"/>
        <rFont val="Arial"/>
        <family val="2"/>
      </rPr>
      <t xml:space="preserve"> -1</t>
    </r>
  </si>
  <si>
    <t>(1-("5.1"+"5.2"+"5.3"+"5.4"))</t>
  </si>
  <si>
    <r>
      <rPr>
        <b/>
        <sz val="14"/>
        <color theme="1"/>
        <rFont val="Calibri"/>
        <family val="2"/>
        <scheme val="minor"/>
      </rPr>
      <t>BDI</t>
    </r>
    <r>
      <rPr>
        <sz val="10"/>
        <rFont val="Arial"/>
        <family val="2"/>
      </rPr>
      <t xml:space="preserve"> adotado</t>
    </r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</si>
  <si>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</si>
  <si>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</si>
  <si>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</si>
  <si>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rPr>
        <b/>
        <sz val="14"/>
        <color theme="1"/>
        <rFont val="Calibri"/>
        <family val="2"/>
        <scheme val="minor"/>
      </rPr>
      <t>Taxa Administração local</t>
    </r>
    <r>
      <rPr>
        <sz val="10"/>
        <rFont val="Arial"/>
        <family val="2"/>
      </rPr>
      <t xml:space="preserve"> adotada</t>
    </r>
  </si>
  <si>
    <t>Shoptime</t>
  </si>
  <si>
    <t>Serviços Gerais</t>
  </si>
  <si>
    <t>Projetos</t>
  </si>
  <si>
    <t>01.17.041</t>
  </si>
  <si>
    <t>Projeto executivo de arquitetura em formato A0</t>
  </si>
  <si>
    <t>01.17.121</t>
  </si>
  <si>
    <t>Projeto executivo de instalações elétricas em formato A0</t>
  </si>
  <si>
    <t>01.17.161</t>
  </si>
  <si>
    <t>Projeto executivo de climatização em formato A0</t>
  </si>
  <si>
    <t>Entulho</t>
  </si>
  <si>
    <t>05.07.050</t>
  </si>
  <si>
    <t>Remoção de entulho de obra com caçamba metálica - material volumoso e misturado por alvenaria, terra, madeira, papel, plástico e metal</t>
  </si>
  <si>
    <t>m³</t>
  </si>
  <si>
    <t>05.09.008</t>
  </si>
  <si>
    <t>Transporte e taxa de destinação de resíduo sólido em aterro, tipo telhas cimento amianto</t>
  </si>
  <si>
    <t>t</t>
  </si>
  <si>
    <t>Serviços Iniciais</t>
  </si>
  <si>
    <t>02.03.030</t>
  </si>
  <si>
    <t>Proteção de superfícies em geral com plástico bolha</t>
  </si>
  <si>
    <t>02.03.240</t>
  </si>
  <si>
    <t>Proteção de piso com tecido de aniagem e gesso</t>
  </si>
  <si>
    <t>Eletrotécnico montador - montagem e configuração de roteador</t>
  </si>
  <si>
    <t>Conector Rj11 - macho</t>
  </si>
  <si>
    <t>Carrefour</t>
  </si>
  <si>
    <t>Conector RJ 45 - macho, Cat 6</t>
  </si>
  <si>
    <t>Eletrotécnico montador - montagem de conectores</t>
  </si>
  <si>
    <t>LISTA DE ITENS SEM CODIGO NA CPOS</t>
  </si>
  <si>
    <t>01.17.071</t>
  </si>
  <si>
    <t>Projeto executivo de instalações hidráulicas em formato A1</t>
  </si>
  <si>
    <t>04.02.050</t>
  </si>
  <si>
    <t>Retirada de estrutura em madeira tesoura - telhas de barro</t>
  </si>
  <si>
    <t>04.02.070</t>
  </si>
  <si>
    <t>Retirada de estrutura em madeira tesoura - telhas perfil qualquer</t>
  </si>
  <si>
    <t>Obra</t>
  </si>
  <si>
    <t>Valor</t>
  </si>
  <si>
    <t>Instalações Eletricas</t>
  </si>
  <si>
    <t>Rede de dados e Telefonia</t>
  </si>
  <si>
    <t>Roteador WiFi, padrão 802.11 AC - 1200Mbps (minimo)</t>
  </si>
  <si>
    <t>Aterramento e outros</t>
  </si>
  <si>
    <t>69.20.260</t>
  </si>
  <si>
    <t>Protetor de surto híbrido para rede de telecomunicações</t>
  </si>
  <si>
    <t>42.05.210</t>
  </si>
  <si>
    <t>Haste de aterramento de 5/8´ x 3,00 m</t>
  </si>
  <si>
    <t>42.05.320</t>
  </si>
  <si>
    <t>Caixa de inspeção do terra cilíndrica em PVC rígido, diâmetro de 300 mm - h= 400 mm</t>
  </si>
  <si>
    <t>42.05.300</t>
  </si>
  <si>
    <t>Tampa para caixa de inspeção cilíndrica, aço galvanizado</t>
  </si>
  <si>
    <t>42.05.160</t>
  </si>
  <si>
    <t>Conector olhal cabo/haste de 5/8´</t>
  </si>
  <si>
    <t>39.03.178</t>
  </si>
  <si>
    <t>Cabo de cobre de 6 mm², isolamento 0,6/1 kV - isolação em PVC 70°C</t>
  </si>
  <si>
    <t>69.20.280</t>
  </si>
  <si>
    <t>Divisor interno com 1 entrada e 4 saídas - 75 Ohms</t>
  </si>
  <si>
    <t>5.5</t>
  </si>
  <si>
    <t>5.6</t>
  </si>
  <si>
    <t>5.7</t>
  </si>
  <si>
    <t>4.5</t>
  </si>
  <si>
    <t>Mangueira cristal 3/4"</t>
  </si>
  <si>
    <t>Hidraulica</t>
  </si>
  <si>
    <t>B.01.000.010139</t>
  </si>
  <si>
    <t>B.01.000.010118</t>
  </si>
  <si>
    <t>B.01.000.010119</t>
  </si>
  <si>
    <t>48.02.400</t>
  </si>
  <si>
    <t>Reservatório em polietileno com tampa de rosca, capacidade de 1.000 litros</t>
  </si>
  <si>
    <t>Encanador - remoção de um reservatório em polietileno com tampa de rosca, capacidade de 1.000 litros</t>
  </si>
  <si>
    <t>Ajudante de encanador - remoção de um reservatório em polietileno com tampa de rosca, capacidade de 1.000 litros</t>
  </si>
  <si>
    <t>03.01.040</t>
  </si>
  <si>
    <t>Demolição manual de concreto armado - Tampa da caixa de passagem de esgoto</t>
  </si>
  <si>
    <t>Água fria</t>
  </si>
  <si>
    <t>48.05.010</t>
  </si>
  <si>
    <t>Torneira de boia, DN= 3/4´</t>
  </si>
  <si>
    <t>46.01.020</t>
  </si>
  <si>
    <t>Tubo de PVC rígido soldável marrom, DN= 25 mm, (3/4´), inclusive conexões</t>
  </si>
  <si>
    <t>Tubo de PVC rígido soldável marrom, DN= 20 mm, (1/2´), inclusive conexões</t>
  </si>
  <si>
    <t>Esgoto</t>
  </si>
  <si>
    <t>11.03.140</t>
  </si>
  <si>
    <t>Concreto preparado no local, fck = 30,0 Mpa (tampa da caixa de passagem)</t>
  </si>
  <si>
    <t>11.16.040</t>
  </si>
  <si>
    <t>09.02.020</t>
  </si>
  <si>
    <t>Lançamento e adensamento de concreto ou massa em fundação (tampa da caixa de passagem)</t>
  </si>
  <si>
    <t>Forma plana em compensado para estrutura convencional (tampa da caixa de passagem)</t>
  </si>
  <si>
    <t>10.02.020</t>
  </si>
  <si>
    <t>kg</t>
  </si>
  <si>
    <t>Armadura em tela soldada de aço (tampa da caixa de passagem)</t>
  </si>
  <si>
    <t>Aparelhos</t>
  </si>
  <si>
    <t>04.11.030</t>
  </si>
  <si>
    <t>Retirada de bancada incluindo pertences</t>
  </si>
  <si>
    <t>44.02.060</t>
  </si>
  <si>
    <t>Tampo/bancada em granito com espessura de 3 cm</t>
  </si>
  <si>
    <t>44.01.340</t>
  </si>
  <si>
    <t>Tanque simples em concreto pré-moldado</t>
  </si>
  <si>
    <t>44.06.360</t>
  </si>
  <si>
    <t>Cuba em aço inoxidável simples de 500x400x200mm</t>
  </si>
  <si>
    <t>44.03.400</t>
  </si>
  <si>
    <t>Torneira curta com rosca para uso geral, em latão fundido cromado, DN= 3/4´</t>
  </si>
  <si>
    <t>44.20.620</t>
  </si>
  <si>
    <t>Válvula americana</t>
  </si>
  <si>
    <t>44.20.260</t>
  </si>
  <si>
    <t>Sifão plástico com copo, rígido, de 1 1/4´ x 2´</t>
  </si>
  <si>
    <t>44.20.650</t>
  </si>
  <si>
    <t>Válvula de metal cromado de 1´</t>
  </si>
  <si>
    <t>44.20.010</t>
  </si>
  <si>
    <t>Sifão plástico sanfonado universal de 1´</t>
  </si>
  <si>
    <t>26.04.010</t>
  </si>
  <si>
    <t>Espelho em vidro cristal liso, espessura de 4 mm, colocado sobre a parede</t>
  </si>
  <si>
    <t>Acessorios, metais e acabamentos</t>
  </si>
  <si>
    <t>B.01.000.010146</t>
  </si>
  <si>
    <t>Hidraullica</t>
  </si>
  <si>
    <t>Demolições e retiradas</t>
  </si>
  <si>
    <t>46.02.050</t>
  </si>
  <si>
    <t>Tubo de PVC rígido branco PxB com virola e anel de borracha, linha esgoto série normal, DN= 50 mm, inclusive conexões</t>
  </si>
  <si>
    <t>Plaquetas em plastico ABS ou acrilicas, gravadas com o número do circuito e breve descrição, a ser colada ao lado de cada disjuntor</t>
  </si>
  <si>
    <t>Sinalizar</t>
  </si>
  <si>
    <t>Elo7</t>
  </si>
  <si>
    <t>Construmais</t>
  </si>
  <si>
    <t>Servente - Remoção de dois armarios em PVC de sobrepor - WC's</t>
  </si>
  <si>
    <t>Servente - instalação de tampa de concreto em caixa de passagem</t>
  </si>
  <si>
    <t>Pedreiro - execução de acabamento sobre concreto lançado, acabamento desempenado e vassourado</t>
  </si>
  <si>
    <t>Servente - execução de acabamento sobre concreto lançado, acabamento desempenado e vassourado</t>
  </si>
  <si>
    <t>Climatização</t>
  </si>
  <si>
    <t>6.1</t>
  </si>
  <si>
    <t>Padrão de entrada</t>
  </si>
  <si>
    <t>39.03.160</t>
  </si>
  <si>
    <t>Cabo de cobre de 1,5 mm², isolamento 0,6/1 kV - isolação em PVC 70°C</t>
  </si>
  <si>
    <t>39.03.170</t>
  </si>
  <si>
    <t>Cabo de cobre de 2,5 mm², isolamento 0,6/1 kV - isolação em PVC 70°C</t>
  </si>
  <si>
    <t>39.03.174</t>
  </si>
  <si>
    <t>Cabo de cobre de 4 mm², isolamento 0,6/1 kV - isolação em PVC 70°C.</t>
  </si>
  <si>
    <t>40.05.040</t>
  </si>
  <si>
    <t>Interruptor com 2 teclas simples e placa</t>
  </si>
  <si>
    <t>40.05.020</t>
  </si>
  <si>
    <t>Interruptor com 1 tecla simples e placa</t>
  </si>
  <si>
    <t>40.04.460</t>
  </si>
  <si>
    <t>Tomada 2P+T de 20 A - 250 V, completa</t>
  </si>
  <si>
    <t>40.04.480</t>
  </si>
  <si>
    <t>Conjunto 1 interruptor simples e 1 tomada 2P+T de 10 A, completo</t>
  </si>
  <si>
    <t>40.06.060</t>
  </si>
  <si>
    <t>Condulete metálico de 1´</t>
  </si>
  <si>
    <t>40.06.040</t>
  </si>
  <si>
    <t>Condulete metálico de 3/4´</t>
  </si>
  <si>
    <t>04.21.130</t>
  </si>
  <si>
    <t>Remoção de poste de concreto</t>
  </si>
  <si>
    <t>06.02.020</t>
  </si>
  <si>
    <t>Escavação manual em solo de 1ª e 2ª categoria em vala ou cava até 1,50 m</t>
  </si>
  <si>
    <t>11.03.090</t>
  </si>
  <si>
    <t>Concreto preparado no local, fck = 20,0 MPa</t>
  </si>
  <si>
    <t>Lançamento e adensamento de concreto ou massa em fundação</t>
  </si>
  <si>
    <t>42.05.200</t>
  </si>
  <si>
    <t>Haste de aterramento de 5/8´ x 2,40 m</t>
  </si>
  <si>
    <t>39.04.050</t>
  </si>
  <si>
    <t>Cabo de cobre nu, têmpera mole, classe 2, de 16 mm²</t>
  </si>
  <si>
    <t>4.6</t>
  </si>
  <si>
    <t>4.7</t>
  </si>
  <si>
    <t>4.8</t>
  </si>
  <si>
    <t>4.9</t>
  </si>
  <si>
    <t>Eletricista - colagem das plaquetas (0,07h/unid)</t>
  </si>
  <si>
    <t>Ajudante eletricista - instalação Lâmpadas (0,05h/unid)</t>
  </si>
  <si>
    <t>01.06.021</t>
  </si>
  <si>
    <t>Elaboração de projeto de adequação de entrada de energia elétrica junto a concessionária, com medição em baixa tensão e demanda até 75 kVA</t>
  </si>
  <si>
    <t>6.2</t>
  </si>
  <si>
    <t>6.3</t>
  </si>
  <si>
    <t>7.1</t>
  </si>
  <si>
    <t>37.04.280</t>
  </si>
  <si>
    <t>Quadro de distribuição universal de sobrepor, para disjuntores 44 DIN / 32 Bolt-on - 150 A - sem componentes</t>
  </si>
  <si>
    <t>37.13.800</t>
  </si>
  <si>
    <t>Mini-disjuntor termomagnético, unipolar 127/220 V, corrente de 10 A até 32 A</t>
  </si>
  <si>
    <t>37.13.840</t>
  </si>
  <si>
    <t>Mini-disjuntor termomagnético, bipolar 220/380 V, corrente de 10 A até 32 A</t>
  </si>
  <si>
    <t>37.17.090</t>
  </si>
  <si>
    <t>Dispositivo diferencial residual de 63 A x 30 mA - 4 polos</t>
  </si>
  <si>
    <t>37.20.080</t>
  </si>
  <si>
    <t>Barra de neutro e/ou terra</t>
  </si>
  <si>
    <t>37.24.032</t>
  </si>
  <si>
    <t>Supressor de surto monofásico, Fase-Terra, In &gt; ou = 20 kA, Imax. de surto de 50 até 80 Ka</t>
  </si>
  <si>
    <t>40.20.140</t>
  </si>
  <si>
    <t>Placa de 4´ x 4´</t>
  </si>
  <si>
    <t>40.20.120</t>
  </si>
  <si>
    <t>Placa de 4´ x 2´</t>
  </si>
  <si>
    <t>40.07.020</t>
  </si>
  <si>
    <t>Caixa em PVC de 4´ x 4´</t>
  </si>
  <si>
    <t>Barramento tipo pente trifásico 12p</t>
  </si>
  <si>
    <t>37.13.900</t>
  </si>
  <si>
    <t>Mini-disjuntor termomagnético, tripolar 220/380 V, corrente de 63 A</t>
  </si>
  <si>
    <t>C&amp;C</t>
  </si>
  <si>
    <t xml:space="preserve">Barramento tipo pente trifásico 12p </t>
  </si>
  <si>
    <t>Suporte em PVC para 12 disjuntores anti-chama</t>
  </si>
  <si>
    <t>Dicico</t>
  </si>
  <si>
    <t>Terminal Tubular Ilhós 1,5mm</t>
  </si>
  <si>
    <t>Terminal Tubular Ilhós 4mm</t>
  </si>
  <si>
    <t>Viewtech</t>
  </si>
  <si>
    <t>Baú Eletro</t>
  </si>
  <si>
    <t xml:space="preserve">Terminal Tubular Ilhós 4mm </t>
  </si>
  <si>
    <t xml:space="preserve">Terminal Tubular Ilhós 2,5mm </t>
  </si>
  <si>
    <t xml:space="preserve">Terminal Tubular Ilhós 1,5mm </t>
  </si>
  <si>
    <t>8.1</t>
  </si>
  <si>
    <t>Combate a incêndio</t>
  </si>
  <si>
    <t>7.2</t>
  </si>
  <si>
    <t>50.10.110</t>
  </si>
  <si>
    <t>Extintor manual de pó químico seco ABC - capacidade de 4 kg</t>
  </si>
  <si>
    <t>50.10.210</t>
  </si>
  <si>
    <t>Suporte para extintor de piso em fibra de vidro</t>
  </si>
  <si>
    <t>97.01.010</t>
  </si>
  <si>
    <t>Adesivo vinílico, padrão regulamentado, para sinalização de incêndio</t>
  </si>
  <si>
    <t>9.1</t>
  </si>
  <si>
    <t>8.2</t>
  </si>
  <si>
    <t>Caixalharia</t>
  </si>
  <si>
    <t>28.20.600</t>
  </si>
  <si>
    <t>Fechadura de centro com cilindro para porta em vidro temperado</t>
  </si>
  <si>
    <t>04.10.040</t>
  </si>
  <si>
    <t>Retirada de fechadura ou fecho de sobrepor</t>
  </si>
  <si>
    <t>Mercado Livre</t>
  </si>
  <si>
    <t>Kiluz</t>
  </si>
  <si>
    <t>Eletricista - instalação Poste</t>
  </si>
  <si>
    <t>39.21.070</t>
  </si>
  <si>
    <t>Cabo de cobre flexível de 25 mm², isolamento 0,6/1kV - isolação HEPR 90°C</t>
  </si>
  <si>
    <t>55.02.010</t>
  </si>
  <si>
    <t>Limpeza de caixa de inspeção</t>
  </si>
  <si>
    <t>S.04.000.081349</t>
  </si>
  <si>
    <t>Caminhão MUNCK 3 toneladas - instalação poste</t>
  </si>
  <si>
    <t>B.01.000.010101</t>
  </si>
  <si>
    <t>Pedreiro - instalação poste</t>
  </si>
  <si>
    <t>Ajudante geral - instalação poste</t>
  </si>
  <si>
    <t>Poste completo em concreto com 7,5m e 200daN, com caixa acoplada padrão Elektro, categoria T2, trifásico com cabo de 25mm e Disjuntor de 100A</t>
  </si>
  <si>
    <t>Eletricista - instalação barramento (0,05h/unid)</t>
  </si>
  <si>
    <t>Ajudante eletricista - instalação suporte (0,10h/unid)</t>
  </si>
  <si>
    <t>Eletricista - fixação de terminais (0,02h/unid)</t>
  </si>
  <si>
    <t>10.1</t>
  </si>
  <si>
    <t>9.2</t>
  </si>
  <si>
    <t>9.3</t>
  </si>
  <si>
    <t>Acesso sala reunião</t>
  </si>
  <si>
    <t>03.02.040</t>
  </si>
  <si>
    <t>Demolição manual de alvenaria de elevação ou elemento vazado, incluindo revestimento</t>
  </si>
  <si>
    <t>14.20.010</t>
  </si>
  <si>
    <t>Vergas, contravergas e pilaretes de concreto armado</t>
  </si>
  <si>
    <t>23.09.050</t>
  </si>
  <si>
    <t>Porta lisa com batente madeira - 90 x 210 cm</t>
  </si>
  <si>
    <t>28.01.040</t>
  </si>
  <si>
    <t>Ferragem completa com maçaneta tipo alavanca, para porta interna com 1 folha</t>
  </si>
  <si>
    <t>33.12.011</t>
  </si>
  <si>
    <t>Esmalte à base de água em madeira, inclusive preparo</t>
  </si>
  <si>
    <t>43.07.330</t>
  </si>
  <si>
    <t>Ar condicionado a frio, tipo split parede com capacidade de 12.000 BTU/h</t>
  </si>
  <si>
    <t>43.07.340</t>
  </si>
  <si>
    <t>Ar condicionado a frio, tipo split parede com capacidade de 18.000 BTU/h</t>
  </si>
  <si>
    <t>43.07.350</t>
  </si>
  <si>
    <t>Ar condicionado a frio, tipo split parede com capacidade de 24.000 BTU/h</t>
  </si>
  <si>
    <t>Limpeza e higienização interna e externa de gabinetes, serpentinas, bandeja de captação de condensado e do dreno, do conjunto moto-ventilador, dos filtros de ar das unidades evaporadoras com suas respectivas condensadoras</t>
  </si>
  <si>
    <t>GR ar condic</t>
  </si>
  <si>
    <t>Climatize</t>
  </si>
  <si>
    <t>Teste de pressão em linha frigorígena com complemento ou recarga total de gás refrigerante</t>
  </si>
  <si>
    <t>Artec</t>
  </si>
  <si>
    <t>Dreno - reparo</t>
  </si>
  <si>
    <t>Ar Condicionado - novos equipamentos</t>
  </si>
  <si>
    <t>Ar Condicionado - manutenção dos existentes</t>
  </si>
  <si>
    <t>Recomposição de emboço</t>
  </si>
  <si>
    <t>17.02.140</t>
  </si>
  <si>
    <t>Emboço desempenado com espuma de poliéster</t>
  </si>
  <si>
    <t>03.03.040</t>
  </si>
  <si>
    <t>Demolição manual de revestimento em massa de parede ou teto</t>
  </si>
  <si>
    <t>17.02.040</t>
  </si>
  <si>
    <t>Chapisco com bianco</t>
  </si>
  <si>
    <t>7.3</t>
  </si>
  <si>
    <t>7.4</t>
  </si>
  <si>
    <t>7.5</t>
  </si>
  <si>
    <t>9.4</t>
  </si>
  <si>
    <t>9.5</t>
  </si>
  <si>
    <t>10.2</t>
  </si>
  <si>
    <t>10.3</t>
  </si>
  <si>
    <t>11.1</t>
  </si>
  <si>
    <t>47.02.010</t>
  </si>
  <si>
    <t>Registro de gaveta em latão fundido cromado com canopla, DN= 1/2´ - linha especial</t>
  </si>
  <si>
    <t>04.21.160</t>
  </si>
  <si>
    <t>Remoção de quadro de distribuição, chamada ou caixa de passagem</t>
  </si>
  <si>
    <t>Remoções</t>
  </si>
  <si>
    <t>3.11</t>
  </si>
  <si>
    <t>3.12</t>
  </si>
  <si>
    <t>3.13</t>
  </si>
  <si>
    <t>3.14</t>
  </si>
  <si>
    <t>3.15</t>
  </si>
  <si>
    <t>3.16</t>
  </si>
  <si>
    <t>3.17</t>
  </si>
  <si>
    <t>3.18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</si>
  <si>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</si>
  <si>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</si>
  <si>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</si>
  <si>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</si>
  <si>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</si>
  <si>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</si>
  <si>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</si>
  <si>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</si>
  <si>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</si>
  <si>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</si>
  <si>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</si>
  <si>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</si>
  <si>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</si>
  <si>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04.17.020</t>
  </si>
  <si>
    <t>Remoção de aparelho de iluminação ou projetor fixo em teto, piso ou parede</t>
  </si>
  <si>
    <t>04.18.340</t>
  </si>
  <si>
    <t>Remoção de condulete</t>
  </si>
  <si>
    <t>04.22.110</t>
  </si>
  <si>
    <t>Remoção de tubulação elétrica aparente com diâmetro externo até 50 mm</t>
  </si>
  <si>
    <t>04.19.120</t>
  </si>
  <si>
    <t>Remoção de interruptores, tomadas, botão de campainha ou cigarra</t>
  </si>
  <si>
    <t>Aterramento e SPDA</t>
  </si>
  <si>
    <t>42.04.120</t>
  </si>
  <si>
    <t>Mastro simples galvanizado de diâmetro 2´</t>
  </si>
  <si>
    <t>42.04.060</t>
  </si>
  <si>
    <t>Base para mastro de diâmetro 2´</t>
  </si>
  <si>
    <t>11.2</t>
  </si>
  <si>
    <t>12.1</t>
  </si>
  <si>
    <t>Gradil</t>
  </si>
  <si>
    <t>42.05.190</t>
  </si>
  <si>
    <t>Haste de aterramento de ¾" x 3,00 m</t>
  </si>
  <si>
    <t>42.05.410</t>
  </si>
  <si>
    <t>Suporte para fixação de terminal aéreo e/ou de cabo de cobre nu, com base ondulada</t>
  </si>
  <si>
    <t>42.05.380</t>
  </si>
  <si>
    <t>Caixa de equalização, de embutir, em aço com barramento, de 200 x 200 mm e tampa</t>
  </si>
  <si>
    <t>Eletroduto de PVC rígido roscável de 2" - com acessórios</t>
  </si>
  <si>
    <t>42.05.260</t>
  </si>
  <si>
    <t>Suporte para tubo de proteção com grapa para chumbar, diâmetro 2´</t>
  </si>
  <si>
    <t>42.05.140</t>
  </si>
  <si>
    <t>Conector olhal cabo/haste de ¾"</t>
  </si>
  <si>
    <t>39.04.070</t>
  </si>
  <si>
    <t>Cabo de cobre nu, têmpera mole, classe 2, de 35 mm²</t>
  </si>
  <si>
    <t>42.20.170</t>
  </si>
  <si>
    <t>Solda exotérmica conexão cabo-cabo horizontal reto, bitola do cabo de 16mm² a 70mm²</t>
  </si>
  <si>
    <t>06.01.020</t>
  </si>
  <si>
    <t>Escavação manual em solo de 1ª e 2ª categoria em campo aberto</t>
  </si>
  <si>
    <t>06.11.040</t>
  </si>
  <si>
    <t>Reaterro manual apiloado sem controle de compactação</t>
  </si>
  <si>
    <t>Perímetro</t>
  </si>
  <si>
    <t>Número de Descidas</t>
  </si>
  <si>
    <t>Nível de proteção 2</t>
  </si>
  <si>
    <t>42.01.040</t>
  </si>
  <si>
    <t>Captor tipo Franklin, h= 300 mm, 4 pontos, 2 descidas, acabamento cromado</t>
  </si>
  <si>
    <t>42.03.040</t>
  </si>
  <si>
    <t>Isolador galvanizado para mastro de diâmetro 2´, simples com 2 descidas</t>
  </si>
  <si>
    <t>Espaçamento de 15m</t>
  </si>
  <si>
    <t>04.09.100</t>
  </si>
  <si>
    <t>Retirada de guarda-corpo ou gradil em geral</t>
  </si>
  <si>
    <t>25.01.460</t>
  </si>
  <si>
    <t>Gradil em alumínio natural, sob medida</t>
  </si>
  <si>
    <t>33.01.280</t>
  </si>
  <si>
    <t>Reparo de trincas rasas até 5,0 mm de largura, na massa</t>
  </si>
  <si>
    <t>Silvapadroes</t>
  </si>
  <si>
    <t>B.01.000.010126</t>
  </si>
  <si>
    <t>Jardineiro - poda de grama</t>
  </si>
  <si>
    <t>Jardins</t>
  </si>
  <si>
    <t>Pedreiro - instalação e adequações para a mangueira de dreno (R$0,10h/m)</t>
  </si>
  <si>
    <t>Eletricista - instalação luminarias (0,25h/unid)</t>
  </si>
  <si>
    <t>6.4</t>
  </si>
  <si>
    <t>6.5</t>
  </si>
  <si>
    <t>6.6</t>
  </si>
  <si>
    <t>6.7</t>
  </si>
  <si>
    <t>Remoção do sistema anterior</t>
  </si>
  <si>
    <t>Servente - remoção de peças diversas</t>
  </si>
  <si>
    <t>Eletricista - Remoção de equipamento SPLIT completo (condensadora, evaporadora e acessorios) - 1 unid</t>
  </si>
  <si>
    <t>Servente - Remoção de equipamento SPLIT completo (condensadora, evaporadora e acessorios) - 1 unid.</t>
  </si>
  <si>
    <t>Remoção de Ar Condicionado</t>
  </si>
  <si>
    <t>Projeto executivo de instalações elétricas em formato A0 - Atividade a ser executada Projeto de Dados e telefonia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</si>
</sst>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 * #,##0.00_)\ _R_$_ ;_ * \(#,##0.00\)\ _R_$_ ;_ * &quot;-&quot;??_)\ _R_$_ ;_ @_ "/>
    <numFmt numFmtId="166" formatCode="_(* #,##0.00_);_(* \(#,##0.00\);_(* &quot;-&quot;??_);_(@_)"/>
    <numFmt numFmtId="167" formatCode="_-&quot;R$&quot;* #,##0.000_-;\-&quot;R$&quot;* #,##0.000_-;_-&quot;R$&quot;* &quot;-&quot;??_-;_-@_-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Ecofont Vera Sans"/>
      <family val="2"/>
    </font>
    <font>
      <sz val="10"/>
      <name val="Ecofont Vera Sans"/>
      <family val="2"/>
    </font>
    <font>
      <sz val="11"/>
      <name val="Ecofont Vera Sans"/>
      <family val="2"/>
    </font>
    <font>
      <b/>
      <sz val="11"/>
      <name val="Ecofont Vera Sans"/>
      <family val="2"/>
    </font>
    <font>
      <sz val="11"/>
      <color theme="1"/>
      <name val="Ecofont Vera Sans"/>
      <family val="2"/>
    </font>
    <font>
      <b/>
      <sz val="11"/>
      <name val="Ecofont Vera Sans"/>
      <family val="2"/>
    </font>
    <font>
      <sz val="11"/>
      <color indexed="8"/>
      <name val="Calibri"/>
      <family val="2"/>
      <scheme val="minor"/>
    </font>
    <font>
      <sz val="10"/>
      <color rgb="FFFF0000"/>
      <name val="Arial"/>
      <family val="2"/>
    </font>
    <font>
      <sz val="9"/>
      <color indexed="8"/>
      <name val="Ecofont Vera Sans"/>
      <family val="2"/>
    </font>
    <font>
      <sz val="10"/>
      <color theme="1"/>
      <name val="Ecofont Vera Sans"/>
      <family val="2"/>
    </font>
    <font>
      <sz val="10"/>
      <color indexed="8"/>
      <name val="Ecofont Vera Sans"/>
      <family val="2"/>
    </font>
    <font>
      <sz val="11"/>
      <color theme="0"/>
      <name val="Ecofont Vera Sans"/>
      <family val="2"/>
    </font>
    <font>
      <sz val="11"/>
      <color rgb="FF006100"/>
      <name val="Ecofont Vera Sans"/>
      <family val="2"/>
    </font>
    <font>
      <b/>
      <sz val="11"/>
      <color rgb="FFFA7D00"/>
      <name val="Ecofont Vera Sans"/>
      <family val="2"/>
    </font>
    <font>
      <b/>
      <sz val="11"/>
      <color theme="0"/>
      <name val="Ecofont Vera Sans"/>
      <family val="2"/>
    </font>
    <font>
      <sz val="11"/>
      <color rgb="FFFA7D00"/>
      <name val="Ecofont Vera Sans"/>
      <family val="2"/>
    </font>
    <font>
      <sz val="11"/>
      <color rgb="FF3F3F76"/>
      <name val="Ecofont Vera Sans"/>
      <family val="2"/>
    </font>
    <font>
      <sz val="11"/>
      <color rgb="FF9C0006"/>
      <name val="Ecofont Vera Sans"/>
      <family val="2"/>
    </font>
    <font>
      <sz val="11"/>
      <color rgb="FF9C6500"/>
      <name val="Ecofont Vera Sans"/>
      <family val="2"/>
    </font>
    <font>
      <b/>
      <sz val="11"/>
      <color rgb="FF3F3F3F"/>
      <name val="Ecofont Vera Sans"/>
      <family val="2"/>
    </font>
    <font>
      <sz val="11"/>
      <color rgb="FFFF0000"/>
      <name val="Ecofont Vera Sans"/>
      <family val="2"/>
    </font>
    <font>
      <i/>
      <sz val="11"/>
      <color rgb="FF7F7F7F"/>
      <name val="Ecofont Vera Sans"/>
      <family val="2"/>
    </font>
    <font>
      <b/>
      <sz val="15"/>
      <color theme="3"/>
      <name val="Ecofont Vera Sans"/>
      <family val="2"/>
    </font>
    <font>
      <b/>
      <sz val="13"/>
      <color theme="3"/>
      <name val="Ecofont Vera Sans"/>
      <family val="2"/>
    </font>
    <font>
      <b/>
      <sz val="11"/>
      <color theme="3"/>
      <name val="Ecofont Vera Sans"/>
      <family val="2"/>
    </font>
    <font>
      <b/>
      <sz val="11"/>
      <color theme="1"/>
      <name val="Ecofont Vera Sans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0"/>
      <name val="Ecofont Vera Sans"/>
      <family val="2"/>
    </font>
    <font>
      <sz val="10"/>
      <name val="Arial"/>
      <family val="2"/>
    </font>
    <font>
      <sz val="8"/>
      <name val="Ecofont Vera Sans"/>
      <family val="2"/>
    </font>
    <font>
      <b/>
      <sz val="11"/>
      <name val="Arial"/>
      <family val="2"/>
    </font>
    <font>
      <sz val="11"/>
      <color indexed="8"/>
      <name val="Ecofont Vera Sans"/>
      <family val="2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0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 diagonalUp="1">
      <left style="hair">
        <color auto="1"/>
      </left>
      <right/>
      <top style="hair">
        <color auto="1"/>
      </top>
      <bottom style="hair">
        <color auto="1"/>
      </bottom>
      <diagonal style="hair">
        <color auto="1"/>
      </diagonal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rgb="FF000000"/>
      </top>
      <bottom style="hair">
        <color auto="1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/>
      <bottom/>
      <diagonal/>
    </border>
    <border diagonalUp="1">
      <left/>
      <right/>
      <top style="hair">
        <color auto="1"/>
      </top>
      <bottom style="hair">
        <color auto="1"/>
      </bottom>
      <diagonal style="hair">
        <color auto="1"/>
      </diagonal>
    </border>
    <border>
      <left style="hair">
        <color auto="1"/>
      </left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hair">
        <color rgb="FF000000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hair">
        <color rgb="FF000000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auto="1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 style="medium">
        <color indexed="64"/>
      </right>
      <top/>
      <bottom style="hair">
        <color auto="1"/>
      </bottom>
      <diagonal/>
    </border>
  </borders>
  <cellStyleXfs count="10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0" applyNumberFormat="0" applyBorder="0" applyAlignment="0" applyProtection="0"/>
    <xf numFmtId="0" fontId="7" fillId="21" borderId="1" applyNumberFormat="0" applyAlignment="0" applyProtection="0"/>
    <xf numFmtId="0" fontId="8" fillId="22" borderId="2" applyNumberFormat="0" applyAlignment="0" applyProtection="0"/>
    <xf numFmtId="0" fontId="9" fillId="0" borderId="3" applyNumberFormat="0" applyFill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10" fillId="29" borderId="1" applyNumberFormat="0" applyAlignment="0" applyProtection="0"/>
    <xf numFmtId="0" fontId="11" fillId="30" borderId="0" applyNumberFormat="0" applyBorder="0" applyAlignment="0" applyProtection="0"/>
    <xf numFmtId="0" fontId="12" fillId="31" borderId="0" applyNumberFormat="0" applyBorder="0" applyAlignment="0" applyProtection="0"/>
    <xf numFmtId="0" fontId="13" fillId="0" borderId="0"/>
    <xf numFmtId="0" fontId="3" fillId="0" borderId="0"/>
    <xf numFmtId="0" fontId="4" fillId="0" borderId="0"/>
    <xf numFmtId="0" fontId="13" fillId="0" borderId="0"/>
    <xf numFmtId="0" fontId="3" fillId="0" borderId="0"/>
    <xf numFmtId="0" fontId="4" fillId="32" borderId="4" applyNumberFormat="0" applyFont="0" applyAlignment="0" applyProtection="0"/>
    <xf numFmtId="9" fontId="3" fillId="0" borderId="0" applyFont="0" applyFill="0" applyBorder="0" applyAlignment="0" applyProtection="0"/>
    <xf numFmtId="0" fontId="14" fillId="21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165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4" fillId="20" borderId="0" applyNumberFormat="0" applyBorder="0" applyAlignment="0" applyProtection="0"/>
    <xf numFmtId="0" fontId="35" fillId="21" borderId="1" applyNumberFormat="0" applyAlignment="0" applyProtection="0"/>
    <xf numFmtId="0" fontId="36" fillId="22" borderId="2" applyNumberFormat="0" applyAlignment="0" applyProtection="0"/>
    <xf numFmtId="0" fontId="37" fillId="0" borderId="3" applyNumberFormat="0" applyFill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8" fillId="29" borderId="1" applyNumberFormat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9" fontId="3" fillId="0" borderId="0" applyFont="0" applyFill="0" applyBorder="0" applyAlignment="0" applyProtection="0"/>
    <xf numFmtId="0" fontId="41" fillId="21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6" fillId="0" borderId="8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9" applyNumberFormat="0" applyFill="0" applyAlignment="0" applyProtection="0"/>
    <xf numFmtId="43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40">
    <xf numFmtId="0" fontId="0" fillId="0" borderId="0" xfId="0"/>
    <xf numFmtId="0" fontId="23" fillId="0" borderId="0" xfId="0" applyFont="1" applyAlignment="1">
      <alignment vertical="center"/>
    </xf>
    <xf numFmtId="4" fontId="22" fillId="34" borderId="31" xfId="0" applyNumberFormat="1" applyFont="1" applyFill="1" applyBorder="1" applyAlignment="1">
      <alignment horizontal="center" vertical="center"/>
    </xf>
    <xf numFmtId="4" fontId="22" fillId="34" borderId="32" xfId="0" applyNumberFormat="1" applyFont="1" applyFill="1" applyBorder="1" applyAlignment="1">
      <alignment horizontal="center" vertical="center"/>
    </xf>
    <xf numFmtId="4" fontId="22" fillId="34" borderId="25" xfId="48" applyNumberFormat="1" applyFont="1" applyFill="1" applyBorder="1" applyAlignment="1">
      <alignment vertical="center"/>
    </xf>
    <xf numFmtId="4" fontId="22" fillId="34" borderId="28" xfId="48" applyNumberFormat="1" applyFont="1" applyFill="1" applyBorder="1" applyAlignment="1">
      <alignment vertical="center"/>
    </xf>
    <xf numFmtId="4" fontId="23" fillId="0" borderId="0" xfId="0" applyNumberFormat="1" applyFont="1" applyAlignment="1">
      <alignment vertical="center"/>
    </xf>
    <xf numFmtId="165" fontId="22" fillId="0" borderId="0" xfId="48" quotePrefix="1" applyFont="1" applyFill="1" applyBorder="1" applyAlignment="1">
      <alignment horizontal="center" vertical="center"/>
    </xf>
    <xf numFmtId="49" fontId="22" fillId="34" borderId="39" xfId="0" applyNumberFormat="1" applyFont="1" applyFill="1" applyBorder="1" applyAlignment="1">
      <alignment horizontal="center" vertical="center"/>
    </xf>
    <xf numFmtId="0" fontId="22" fillId="34" borderId="15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33" borderId="15" xfId="0" applyFont="1" applyFill="1" applyBorder="1" applyAlignment="1">
      <alignment vertical="center" wrapText="1"/>
    </xf>
    <xf numFmtId="4" fontId="24" fillId="33" borderId="15" xfId="48" applyNumberFormat="1" applyFont="1" applyFill="1" applyBorder="1" applyAlignment="1">
      <alignment horizontal="right" vertical="center" wrapText="1"/>
    </xf>
    <xf numFmtId="0" fontId="24" fillId="0" borderId="0" xfId="0" applyFont="1" applyFill="1" applyAlignment="1">
      <alignment vertical="center" wrapText="1"/>
    </xf>
    <xf numFmtId="0" fontId="24" fillId="0" borderId="13" xfId="0" applyFont="1" applyFill="1" applyBorder="1" applyAlignment="1">
      <alignment horizontal="center" vertical="center" wrapText="1"/>
    </xf>
    <xf numFmtId="4" fontId="24" fillId="0" borderId="10" xfId="0" applyNumberFormat="1" applyFont="1" applyFill="1" applyBorder="1" applyAlignment="1">
      <alignment horizontal="left" vertical="center" wrapText="1"/>
    </xf>
    <xf numFmtId="0" fontId="24" fillId="0" borderId="10" xfId="0" applyFont="1" applyFill="1" applyBorder="1" applyAlignment="1">
      <alignment horizontal="center" vertical="center" wrapText="1"/>
    </xf>
    <xf numFmtId="4" fontId="24" fillId="0" borderId="10" xfId="48" applyNumberFormat="1" applyFont="1" applyFill="1" applyBorder="1" applyAlignment="1">
      <alignment horizontal="right" vertical="center" wrapText="1"/>
    </xf>
    <xf numFmtId="4" fontId="24" fillId="0" borderId="10" xfId="48" applyNumberFormat="1" applyFont="1" applyBorder="1" applyAlignment="1">
      <alignment horizontal="right" vertical="center" wrapText="1"/>
    </xf>
    <xf numFmtId="4" fontId="24" fillId="0" borderId="34" xfId="48" applyNumberFormat="1" applyFont="1" applyBorder="1" applyAlignment="1">
      <alignment horizontal="right" vertical="center" wrapText="1"/>
    </xf>
    <xf numFmtId="4" fontId="25" fillId="34" borderId="27" xfId="48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Alignment="1">
      <alignment vertical="center" wrapText="1"/>
    </xf>
    <xf numFmtId="0" fontId="24" fillId="0" borderId="0" xfId="0" applyFont="1" applyFill="1" applyAlignment="1">
      <alignment horizontal="center" vertical="center" wrapText="1"/>
    </xf>
    <xf numFmtId="4" fontId="24" fillId="0" borderId="0" xfId="0" applyNumberFormat="1" applyFont="1" applyFill="1" applyAlignment="1">
      <alignment horizontal="left" vertical="center" wrapText="1"/>
    </xf>
    <xf numFmtId="4" fontId="24" fillId="0" borderId="0" xfId="48" applyNumberFormat="1" applyFont="1" applyFill="1" applyAlignment="1">
      <alignment horizontal="right" vertical="center" wrapText="1"/>
    </xf>
    <xf numFmtId="0" fontId="25" fillId="33" borderId="41" xfId="0" applyFont="1" applyFill="1" applyBorder="1" applyAlignment="1">
      <alignment horizontal="center" vertical="center"/>
    </xf>
    <xf numFmtId="0" fontId="24" fillId="33" borderId="42" xfId="0" applyFont="1" applyFill="1" applyBorder="1" applyAlignment="1">
      <alignment vertical="center" wrapText="1"/>
    </xf>
    <xf numFmtId="4" fontId="24" fillId="33" borderId="42" xfId="48" applyNumberFormat="1" applyFont="1" applyFill="1" applyBorder="1" applyAlignment="1">
      <alignment horizontal="right" vertical="center" wrapText="1"/>
    </xf>
    <xf numFmtId="0" fontId="26" fillId="0" borderId="44" xfId="0" applyFont="1" applyBorder="1" applyAlignment="1">
      <alignment vertical="center" wrapText="1"/>
    </xf>
    <xf numFmtId="4" fontId="26" fillId="0" borderId="44" xfId="0" applyNumberFormat="1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4" fontId="26" fillId="0" borderId="10" xfId="0" applyNumberFormat="1" applyFont="1" applyBorder="1" applyAlignment="1">
      <alignment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" fillId="33" borderId="0" xfId="0" applyFont="1" applyFill="1" applyBorder="1" applyAlignment="1">
      <alignment horizontal="center" vertical="center" wrapText="1"/>
    </xf>
    <xf numFmtId="4" fontId="24" fillId="0" borderId="44" xfId="48" applyNumberFormat="1" applyFont="1" applyFill="1" applyBorder="1" applyAlignment="1">
      <alignment horizontal="right" vertical="center" wrapText="1"/>
    </xf>
    <xf numFmtId="0" fontId="24" fillId="0" borderId="12" xfId="0" quotePrefix="1" applyFont="1" applyFill="1" applyBorder="1" applyAlignment="1">
      <alignment horizontal="center" vertical="center" wrapText="1"/>
    </xf>
    <xf numFmtId="4" fontId="24" fillId="0" borderId="12" xfId="0" applyNumberFormat="1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center" vertical="center" wrapText="1"/>
    </xf>
    <xf numFmtId="4" fontId="24" fillId="0" borderId="12" xfId="48" applyNumberFormat="1" applyFont="1" applyFill="1" applyBorder="1" applyAlignment="1">
      <alignment horizontal="right" vertical="center" wrapText="1"/>
    </xf>
    <xf numFmtId="4" fontId="24" fillId="0" borderId="12" xfId="48" applyNumberFormat="1" applyFont="1" applyBorder="1" applyAlignment="1">
      <alignment horizontal="right" vertical="center" wrapText="1"/>
    </xf>
    <xf numFmtId="4" fontId="24" fillId="0" borderId="23" xfId="48" applyNumberFormat="1" applyFont="1" applyBorder="1" applyAlignment="1">
      <alignment horizontal="right" vertical="center" wrapText="1"/>
    </xf>
    <xf numFmtId="0" fontId="26" fillId="0" borderId="47" xfId="0" applyFont="1" applyBorder="1" applyAlignment="1">
      <alignment vertical="center" wrapText="1"/>
    </xf>
    <xf numFmtId="0" fontId="26" fillId="0" borderId="47" xfId="0" applyFont="1" applyBorder="1" applyAlignment="1">
      <alignment horizontal="center" vertical="center" wrapText="1"/>
    </xf>
    <xf numFmtId="4" fontId="24" fillId="0" borderId="47" xfId="48" applyNumberFormat="1" applyFont="1" applyFill="1" applyBorder="1" applyAlignment="1">
      <alignment horizontal="right" vertical="center" wrapText="1"/>
    </xf>
    <xf numFmtId="4" fontId="24" fillId="0" borderId="47" xfId="48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 wrapText="1"/>
    </xf>
    <xf numFmtId="0" fontId="26" fillId="0" borderId="12" xfId="0" applyFont="1" applyBorder="1" applyAlignment="1">
      <alignment vertical="center" wrapText="1"/>
    </xf>
    <xf numFmtId="0" fontId="26" fillId="0" borderId="12" xfId="0" applyFont="1" applyBorder="1" applyAlignment="1">
      <alignment horizontal="center" vertical="center" wrapText="1"/>
    </xf>
    <xf numFmtId="4" fontId="26" fillId="0" borderId="12" xfId="0" applyNumberFormat="1" applyFont="1" applyBorder="1" applyAlignment="1">
      <alignment vertical="center" wrapText="1"/>
    </xf>
    <xf numFmtId="165" fontId="22" fillId="0" borderId="0" xfId="48" applyFont="1" applyFill="1" applyBorder="1" applyAlignment="1">
      <alignment horizontal="center" vertical="center"/>
    </xf>
    <xf numFmtId="4" fontId="22" fillId="34" borderId="51" xfId="48" applyNumberFormat="1" applyFont="1" applyFill="1" applyBorder="1" applyAlignment="1">
      <alignment vertical="center"/>
    </xf>
    <xf numFmtId="0" fontId="23" fillId="0" borderId="17" xfId="0" applyFont="1" applyBorder="1" applyAlignment="1">
      <alignment vertical="center"/>
    </xf>
    <xf numFmtId="0" fontId="22" fillId="33" borderId="52" xfId="0" applyFont="1" applyFill="1" applyBorder="1" applyAlignment="1">
      <alignment horizontal="center" vertical="center" wrapText="1"/>
    </xf>
    <xf numFmtId="0" fontId="22" fillId="33" borderId="24" xfId="0" applyFont="1" applyFill="1" applyBorder="1" applyAlignment="1">
      <alignment horizontal="left" vertical="center" wrapText="1"/>
    </xf>
    <xf numFmtId="0" fontId="22" fillId="33" borderId="13" xfId="0" applyFont="1" applyFill="1" applyBorder="1" applyAlignment="1">
      <alignment horizontal="center" vertical="center" wrapText="1"/>
    </xf>
    <xf numFmtId="0" fontId="22" fillId="33" borderId="50" xfId="0" applyFont="1" applyFill="1" applyBorder="1" applyAlignment="1">
      <alignment horizontal="left" vertical="center" wrapText="1"/>
    </xf>
    <xf numFmtId="0" fontId="22" fillId="34" borderId="16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left" vertical="center" wrapText="1"/>
    </xf>
    <xf numFmtId="0" fontId="23" fillId="0" borderId="50" xfId="0" applyFont="1" applyBorder="1" applyAlignment="1">
      <alignment horizontal="left" vertical="center" wrapText="1"/>
    </xf>
    <xf numFmtId="0" fontId="22" fillId="34" borderId="13" xfId="0" applyFont="1" applyFill="1" applyBorder="1" applyAlignment="1">
      <alignment horizontal="left" vertical="center" wrapText="1"/>
    </xf>
    <xf numFmtId="0" fontId="23" fillId="0" borderId="48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165" fontId="22" fillId="34" borderId="16" xfId="48" applyNumberFormat="1" applyFont="1" applyFill="1" applyBorder="1" applyAlignment="1">
      <alignment horizontal="left" vertical="center" wrapText="1"/>
    </xf>
    <xf numFmtId="165" fontId="23" fillId="0" borderId="35" xfId="48" applyFont="1" applyBorder="1" applyAlignment="1">
      <alignment horizontal="left" vertical="center" wrapText="1"/>
    </xf>
    <xf numFmtId="165" fontId="23" fillId="0" borderId="35" xfId="48" applyFont="1" applyBorder="1" applyAlignment="1">
      <alignment horizontal="center" vertical="center" wrapText="1"/>
    </xf>
    <xf numFmtId="165" fontId="23" fillId="0" borderId="16" xfId="48" applyFont="1" applyBorder="1" applyAlignment="1">
      <alignment horizontal="center" vertical="center" wrapText="1"/>
    </xf>
    <xf numFmtId="165" fontId="23" fillId="33" borderId="42" xfId="48" applyFont="1" applyFill="1" applyBorder="1" applyAlignment="1">
      <alignment horizontal="left" vertical="center" wrapText="1"/>
    </xf>
    <xf numFmtId="165" fontId="23" fillId="33" borderId="42" xfId="48" applyFont="1" applyFill="1" applyBorder="1" applyAlignment="1">
      <alignment horizontal="center" vertical="center" wrapText="1"/>
    </xf>
    <xf numFmtId="165" fontId="23" fillId="33" borderId="12" xfId="48" applyFont="1" applyFill="1" applyBorder="1" applyAlignment="1">
      <alignment horizontal="left" vertical="center" wrapText="1"/>
    </xf>
    <xf numFmtId="165" fontId="23" fillId="33" borderId="12" xfId="48" applyFont="1" applyFill="1" applyBorder="1" applyAlignment="1">
      <alignment horizontal="center" vertical="center" wrapText="1"/>
    </xf>
    <xf numFmtId="165" fontId="23" fillId="0" borderId="10" xfId="48" applyFont="1" applyBorder="1" applyAlignment="1">
      <alignment horizontal="left" vertical="center" wrapText="1"/>
    </xf>
    <xf numFmtId="165" fontId="23" fillId="35" borderId="10" xfId="48" applyNumberFormat="1" applyFont="1" applyFill="1" applyBorder="1" applyAlignment="1">
      <alignment horizontal="center" vertical="center"/>
    </xf>
    <xf numFmtId="165" fontId="23" fillId="35" borderId="45" xfId="48" applyNumberFormat="1" applyFont="1" applyFill="1" applyBorder="1" applyAlignment="1">
      <alignment horizontal="center" vertical="center"/>
    </xf>
    <xf numFmtId="165" fontId="23" fillId="36" borderId="35" xfId="48" applyFont="1" applyFill="1" applyBorder="1" applyAlignment="1">
      <alignment horizontal="center" vertical="center" wrapText="1"/>
    </xf>
    <xf numFmtId="0" fontId="24" fillId="0" borderId="45" xfId="0" applyFont="1" applyFill="1" applyBorder="1" applyAlignment="1">
      <alignment horizontal="center" vertical="center" wrapText="1"/>
    </xf>
    <xf numFmtId="0" fontId="24" fillId="33" borderId="12" xfId="0" applyFont="1" applyFill="1" applyBorder="1" applyAlignment="1">
      <alignment vertical="center" wrapText="1"/>
    </xf>
    <xf numFmtId="4" fontId="24" fillId="33" borderId="12" xfId="48" applyNumberFormat="1" applyFont="1" applyFill="1" applyBorder="1" applyAlignment="1">
      <alignment horizontal="right" vertical="center" wrapText="1"/>
    </xf>
    <xf numFmtId="165" fontId="23" fillId="36" borderId="35" xfId="48" applyFont="1" applyFill="1" applyBorder="1" applyAlignment="1">
      <alignment horizontal="left" vertical="center" wrapText="1"/>
    </xf>
    <xf numFmtId="165" fontId="23" fillId="36" borderId="35" xfId="48" applyFont="1" applyFill="1" applyBorder="1" applyAlignment="1">
      <alignment vertical="center" wrapText="1"/>
    </xf>
    <xf numFmtId="0" fontId="24" fillId="0" borderId="48" xfId="0" applyFont="1" applyFill="1" applyBorder="1" applyAlignment="1">
      <alignment horizontal="center" vertical="center" wrapText="1"/>
    </xf>
    <xf numFmtId="4" fontId="24" fillId="0" borderId="53" xfId="48" applyNumberFormat="1" applyFont="1" applyFill="1" applyBorder="1" applyAlignment="1">
      <alignment horizontal="right" vertical="center" wrapText="1"/>
    </xf>
    <xf numFmtId="4" fontId="24" fillId="0" borderId="54" xfId="48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vertical="center" wrapText="1"/>
    </xf>
    <xf numFmtId="165" fontId="23" fillId="35" borderId="16" xfId="48" applyFont="1" applyFill="1" applyBorder="1" applyAlignment="1">
      <alignment horizontal="left" vertical="center" wrapText="1"/>
    </xf>
    <xf numFmtId="165" fontId="23" fillId="35" borderId="35" xfId="48" applyFont="1" applyFill="1" applyBorder="1" applyAlignment="1">
      <alignment horizontal="center" vertical="center" wrapText="1"/>
    </xf>
    <xf numFmtId="165" fontId="23" fillId="36" borderId="16" xfId="48" applyFont="1" applyFill="1" applyBorder="1" applyAlignment="1">
      <alignment vertical="center" wrapText="1"/>
    </xf>
    <xf numFmtId="4" fontId="24" fillId="33" borderId="12" xfId="0" applyNumberFormat="1" applyFont="1" applyFill="1" applyBorder="1" applyAlignment="1">
      <alignment horizontal="left" vertical="center" wrapText="1"/>
    </xf>
    <xf numFmtId="0" fontId="24" fillId="33" borderId="12" xfId="0" applyFont="1" applyFill="1" applyBorder="1" applyAlignment="1">
      <alignment horizontal="center" vertical="center" wrapText="1"/>
    </xf>
    <xf numFmtId="4" fontId="24" fillId="0" borderId="50" xfId="48" applyNumberFormat="1" applyFont="1" applyBorder="1" applyAlignment="1">
      <alignment horizontal="right" vertical="center" wrapText="1"/>
    </xf>
    <xf numFmtId="0" fontId="27" fillId="33" borderId="12" xfId="0" applyFont="1" applyFill="1" applyBorder="1" applyAlignment="1">
      <alignment horizontal="center" vertical="center" wrapText="1"/>
    </xf>
    <xf numFmtId="165" fontId="23" fillId="0" borderId="0" xfId="0" applyNumberFormat="1" applyFont="1" applyAlignment="1">
      <alignment vertical="center"/>
    </xf>
    <xf numFmtId="165" fontId="23" fillId="0" borderId="0" xfId="0" applyNumberFormat="1" applyFont="1" applyAlignment="1">
      <alignment horizontal="right" vertical="center"/>
    </xf>
    <xf numFmtId="0" fontId="24" fillId="0" borderId="53" xfId="0" applyFont="1" applyFill="1" applyBorder="1" applyAlignment="1">
      <alignment horizontal="center" vertical="center" wrapText="1"/>
    </xf>
    <xf numFmtId="4" fontId="24" fillId="0" borderId="53" xfId="0" applyNumberFormat="1" applyFont="1" applyFill="1" applyBorder="1" applyAlignment="1">
      <alignment horizontal="left" vertical="center" wrapText="1"/>
    </xf>
    <xf numFmtId="0" fontId="23" fillId="0" borderId="0" xfId="0" applyFont="1" applyBorder="1" applyAlignment="1">
      <alignment vertical="center"/>
    </xf>
    <xf numFmtId="4" fontId="23" fillId="0" borderId="0" xfId="0" applyNumberFormat="1" applyFont="1" applyBorder="1" applyAlignment="1">
      <alignment vertical="center"/>
    </xf>
    <xf numFmtId="165" fontId="23" fillId="0" borderId="35" xfId="48" applyFont="1" applyFill="1" applyBorder="1" applyAlignment="1">
      <alignment vertical="center" wrapText="1"/>
    </xf>
    <xf numFmtId="4" fontId="26" fillId="0" borderId="0" xfId="0" applyNumberFormat="1" applyFont="1" applyBorder="1" applyAlignment="1">
      <alignment vertical="center" wrapText="1"/>
    </xf>
    <xf numFmtId="0" fontId="26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vertical="center" wrapText="1"/>
    </xf>
    <xf numFmtId="4" fontId="26" fillId="0" borderId="46" xfId="0" applyNumberFormat="1" applyFont="1" applyBorder="1" applyAlignment="1">
      <alignment vertical="center" wrapText="1"/>
    </xf>
    <xf numFmtId="0" fontId="25" fillId="33" borderId="12" xfId="0" applyFont="1" applyFill="1" applyBorder="1" applyAlignment="1">
      <alignment horizontal="center" vertical="center" wrapText="1"/>
    </xf>
    <xf numFmtId="0" fontId="24" fillId="0" borderId="42" xfId="0" applyFont="1" applyFill="1" applyBorder="1" applyAlignment="1">
      <alignment horizontal="center" vertical="center" wrapText="1"/>
    </xf>
    <xf numFmtId="4" fontId="24" fillId="0" borderId="42" xfId="48" applyNumberFormat="1" applyFont="1" applyFill="1" applyBorder="1" applyAlignment="1">
      <alignment horizontal="right" vertical="center" wrapText="1"/>
    </xf>
    <xf numFmtId="0" fontId="23" fillId="0" borderId="56" xfId="0" applyFont="1" applyBorder="1" applyAlignment="1">
      <alignment horizontal="left" vertical="center" wrapText="1"/>
    </xf>
    <xf numFmtId="4" fontId="24" fillId="0" borderId="10" xfId="48" applyNumberFormat="1" applyFont="1" applyFill="1" applyBorder="1" applyAlignment="1">
      <alignment horizontal="center" vertical="center" wrapText="1"/>
    </xf>
    <xf numFmtId="0" fontId="30" fillId="37" borderId="10" xfId="0" applyFont="1" applyFill="1" applyBorder="1" applyAlignment="1">
      <alignment horizontal="center" vertical="center" wrapText="1"/>
    </xf>
    <xf numFmtId="4" fontId="24" fillId="0" borderId="45" xfId="48" applyNumberFormat="1" applyFont="1" applyFill="1" applyBorder="1" applyAlignment="1">
      <alignment horizontal="center" vertical="center" wrapText="1"/>
    </xf>
    <xf numFmtId="0" fontId="26" fillId="0" borderId="44" xfId="0" applyFont="1" applyBorder="1" applyAlignment="1">
      <alignment horizontal="left" vertical="center" wrapText="1"/>
    </xf>
    <xf numFmtId="0" fontId="26" fillId="0" borderId="49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vertical="center" wrapText="1"/>
    </xf>
    <xf numFmtId="43" fontId="29" fillId="37" borderId="10" xfId="49" applyFont="1" applyFill="1" applyBorder="1" applyAlignment="1">
      <alignment horizontal="right" vertical="center" wrapText="1"/>
    </xf>
    <xf numFmtId="4" fontId="26" fillId="0" borderId="44" xfId="0" applyNumberFormat="1" applyFont="1" applyBorder="1" applyAlignment="1">
      <alignment horizontal="right" vertical="center" wrapText="1"/>
    </xf>
    <xf numFmtId="0" fontId="25" fillId="33" borderId="63" xfId="0" applyFont="1" applyFill="1" applyBorder="1" applyAlignment="1">
      <alignment horizontal="center" vertical="center"/>
    </xf>
    <xf numFmtId="4" fontId="25" fillId="33" borderId="64" xfId="48" applyNumberFormat="1" applyFont="1" applyFill="1" applyBorder="1" applyAlignment="1">
      <alignment horizontal="right" vertical="center" wrapText="1"/>
    </xf>
    <xf numFmtId="0" fontId="23" fillId="0" borderId="65" xfId="0" applyFont="1" applyFill="1" applyBorder="1" applyAlignment="1">
      <alignment horizontal="center" vertical="center" wrapText="1"/>
    </xf>
    <xf numFmtId="4" fontId="24" fillId="0" borderId="66" xfId="48" applyNumberFormat="1" applyFont="1" applyBorder="1" applyAlignment="1">
      <alignment horizontal="right" vertical="center" wrapText="1"/>
    </xf>
    <xf numFmtId="0" fontId="24" fillId="0" borderId="65" xfId="0" applyFont="1" applyFill="1" applyBorder="1" applyAlignment="1">
      <alignment horizontal="center" vertical="center" wrapText="1"/>
    </xf>
    <xf numFmtId="4" fontId="24" fillId="0" borderId="67" xfId="48" applyNumberFormat="1" applyFont="1" applyBorder="1" applyAlignment="1">
      <alignment horizontal="right" vertical="center" wrapText="1"/>
    </xf>
    <xf numFmtId="0" fontId="25" fillId="33" borderId="65" xfId="0" applyFont="1" applyFill="1" applyBorder="1" applyAlignment="1">
      <alignment horizontal="center" vertical="center"/>
    </xf>
    <xf numFmtId="4" fontId="25" fillId="33" borderId="68" xfId="48" applyNumberFormat="1" applyFont="1" applyFill="1" applyBorder="1" applyAlignment="1">
      <alignment horizontal="right" vertical="center" wrapText="1"/>
    </xf>
    <xf numFmtId="0" fontId="22" fillId="33" borderId="65" xfId="0" applyFont="1" applyFill="1" applyBorder="1" applyAlignment="1">
      <alignment horizontal="center" vertical="center"/>
    </xf>
    <xf numFmtId="0" fontId="22" fillId="33" borderId="65" xfId="0" applyFont="1" applyFill="1" applyBorder="1" applyAlignment="1">
      <alignment horizontal="center" vertical="center" wrapText="1"/>
    </xf>
    <xf numFmtId="4" fontId="25" fillId="33" borderId="69" xfId="48" applyNumberFormat="1" applyFont="1" applyFill="1" applyBorder="1" applyAlignment="1">
      <alignment horizontal="right" vertical="center" wrapText="1"/>
    </xf>
    <xf numFmtId="4" fontId="24" fillId="0" borderId="69" xfId="48" applyNumberFormat="1" applyFont="1" applyBorder="1" applyAlignment="1">
      <alignment horizontal="right" vertical="center" wrapText="1"/>
    </xf>
    <xf numFmtId="0" fontId="31" fillId="0" borderId="70" xfId="0" applyFont="1" applyBorder="1" applyAlignment="1">
      <alignment horizontal="center" vertical="center" wrapText="1"/>
    </xf>
    <xf numFmtId="4" fontId="25" fillId="34" borderId="71" xfId="48" applyNumberFormat="1" applyFont="1" applyFill="1" applyBorder="1" applyAlignment="1">
      <alignment horizontal="right" vertical="center" wrapText="1"/>
    </xf>
    <xf numFmtId="4" fontId="25" fillId="34" borderId="75" xfId="48" applyNumberFormat="1" applyFont="1" applyFill="1" applyBorder="1" applyAlignment="1">
      <alignment horizontal="right" vertical="center" wrapText="1"/>
    </xf>
    <xf numFmtId="0" fontId="22" fillId="33" borderId="63" xfId="0" applyFont="1" applyFill="1" applyBorder="1" applyAlignment="1">
      <alignment horizontal="center" vertical="center"/>
    </xf>
    <xf numFmtId="0" fontId="30" fillId="37" borderId="45" xfId="0" applyFont="1" applyFill="1" applyBorder="1" applyAlignment="1">
      <alignment horizontal="center" vertical="center" wrapText="1"/>
    </xf>
    <xf numFmtId="4" fontId="24" fillId="0" borderId="45" xfId="0" applyNumberFormat="1" applyFont="1" applyFill="1" applyBorder="1" applyAlignment="1">
      <alignment horizontal="left" vertical="center" wrapText="1"/>
    </xf>
    <xf numFmtId="43" fontId="29" fillId="37" borderId="45" xfId="49" applyFont="1" applyFill="1" applyBorder="1" applyAlignment="1">
      <alignment horizontal="right" vertical="center" wrapText="1"/>
    </xf>
    <xf numFmtId="4" fontId="25" fillId="34" borderId="80" xfId="48" applyNumberFormat="1" applyFont="1" applyFill="1" applyBorder="1" applyAlignment="1">
      <alignment horizontal="right" vertical="center" wrapText="1"/>
    </xf>
    <xf numFmtId="0" fontId="31" fillId="0" borderId="44" xfId="0" applyFont="1" applyBorder="1" applyAlignment="1">
      <alignment horizontal="center" vertical="center" wrapText="1"/>
    </xf>
    <xf numFmtId="0" fontId="32" fillId="37" borderId="10" xfId="0" applyFont="1" applyFill="1" applyBorder="1" applyAlignment="1">
      <alignment horizontal="center" vertical="center" wrapText="1"/>
    </xf>
    <xf numFmtId="0" fontId="24" fillId="0" borderId="81" xfId="0" applyFont="1" applyFill="1" applyBorder="1" applyAlignment="1">
      <alignment horizontal="center" vertical="center" wrapText="1"/>
    </xf>
    <xf numFmtId="4" fontId="24" fillId="0" borderId="68" xfId="48" applyNumberFormat="1" applyFont="1" applyFill="1" applyBorder="1" applyAlignment="1">
      <alignment horizontal="right" vertical="center" wrapText="1"/>
    </xf>
    <xf numFmtId="0" fontId="25" fillId="33" borderId="82" xfId="0" applyFont="1" applyFill="1" applyBorder="1" applyAlignment="1">
      <alignment horizontal="center" vertical="center"/>
    </xf>
    <xf numFmtId="0" fontId="24" fillId="0" borderId="83" xfId="0" applyFont="1" applyFill="1" applyBorder="1" applyAlignment="1">
      <alignment horizontal="center" vertical="center" wrapText="1"/>
    </xf>
    <xf numFmtId="0" fontId="24" fillId="0" borderId="76" xfId="0" applyFont="1" applyFill="1" applyBorder="1" applyAlignment="1">
      <alignment horizontal="center" vertical="center" wrapText="1"/>
    </xf>
    <xf numFmtId="4" fontId="24" fillId="0" borderId="84" xfId="48" applyNumberFormat="1" applyFont="1" applyFill="1" applyBorder="1" applyAlignment="1">
      <alignment horizontal="right" vertical="center" wrapText="1"/>
    </xf>
    <xf numFmtId="0" fontId="2" fillId="35" borderId="0" xfId="95" applyFill="1"/>
    <xf numFmtId="0" fontId="49" fillId="35" borderId="0" xfId="95" applyFont="1" applyFill="1" applyAlignment="1">
      <alignment horizontal="center" vertical="center" wrapText="1"/>
    </xf>
    <xf numFmtId="0" fontId="50" fillId="39" borderId="0" xfId="95" applyFont="1" applyFill="1" applyAlignment="1">
      <alignment horizontal="center" vertical="center" wrapText="1"/>
    </xf>
    <xf numFmtId="0" fontId="49" fillId="35" borderId="10" xfId="95" applyFont="1" applyFill="1" applyBorder="1" applyAlignment="1">
      <alignment horizontal="center" vertical="center" wrapText="1"/>
    </xf>
    <xf numFmtId="0" fontId="2" fillId="40" borderId="10" xfId="95" applyFill="1" applyBorder="1" applyAlignment="1">
      <alignment horizontal="center" vertical="center"/>
    </xf>
    <xf numFmtId="0" fontId="2" fillId="40" borderId="50" xfId="95" applyFill="1" applyBorder="1"/>
    <xf numFmtId="0" fontId="2" fillId="40" borderId="16" xfId="95" applyFill="1" applyBorder="1"/>
    <xf numFmtId="0" fontId="2" fillId="35" borderId="10" xfId="95" applyFill="1" applyBorder="1" applyAlignment="1">
      <alignment horizontal="center" vertical="center"/>
    </xf>
    <xf numFmtId="0" fontId="2" fillId="35" borderId="10" xfId="95" applyFill="1" applyBorder="1"/>
    <xf numFmtId="10" fontId="0" fillId="35" borderId="10" xfId="96" applyNumberFormat="1" applyFont="1" applyFill="1" applyBorder="1"/>
    <xf numFmtId="10" fontId="0" fillId="39" borderId="10" xfId="96" applyNumberFormat="1" applyFont="1" applyFill="1" applyBorder="1"/>
    <xf numFmtId="10" fontId="48" fillId="35" borderId="90" xfId="96" applyNumberFormat="1" applyFont="1" applyFill="1" applyBorder="1" applyAlignment="1">
      <alignment horizontal="center" vertical="center" wrapText="1"/>
    </xf>
    <xf numFmtId="0" fontId="2" fillId="35" borderId="0" xfId="95" applyFill="1" applyAlignment="1">
      <alignment vertical="center"/>
    </xf>
    <xf numFmtId="0" fontId="0" fillId="39" borderId="10" xfId="96" applyNumberFormat="1" applyFont="1" applyFill="1" applyBorder="1" applyAlignment="1">
      <alignment horizontal="center" vertical="center"/>
    </xf>
    <xf numFmtId="10" fontId="48" fillId="35" borderId="91" xfId="96" applyNumberFormat="1" applyFont="1" applyFill="1" applyBorder="1" applyAlignment="1">
      <alignment horizontal="center" vertical="center"/>
    </xf>
    <xf numFmtId="0" fontId="2" fillId="35" borderId="0" xfId="95" applyFill="1" applyAlignment="1">
      <alignment horizontal="center" vertical="center"/>
    </xf>
    <xf numFmtId="10" fontId="53" fillId="0" borderId="0" xfId="0" applyNumberFormat="1" applyFont="1" applyAlignment="1">
      <alignment vertical="center"/>
    </xf>
    <xf numFmtId="10" fontId="24" fillId="0" borderId="0" xfId="0" applyNumberFormat="1" applyFont="1" applyFill="1" applyAlignment="1">
      <alignment vertical="center" wrapText="1"/>
    </xf>
    <xf numFmtId="165" fontId="23" fillId="0" borderId="35" xfId="48" applyFont="1" applyFill="1" applyBorder="1" applyAlignment="1">
      <alignment horizontal="center" vertical="center" wrapText="1"/>
    </xf>
    <xf numFmtId="165" fontId="23" fillId="0" borderId="10" xfId="48" applyFont="1" applyFill="1" applyBorder="1" applyAlignment="1">
      <alignment horizontal="center" vertical="center" wrapText="1"/>
    </xf>
    <xf numFmtId="0" fontId="23" fillId="33" borderId="42" xfId="0" applyFont="1" applyFill="1" applyBorder="1" applyAlignment="1">
      <alignment horizontal="left" vertical="center" wrapText="1"/>
    </xf>
    <xf numFmtId="4" fontId="23" fillId="33" borderId="42" xfId="0" applyNumberFormat="1" applyFont="1" applyFill="1" applyBorder="1" applyAlignment="1">
      <alignment horizontal="center" vertical="center" wrapText="1"/>
    </xf>
    <xf numFmtId="0" fontId="1" fillId="35" borderId="0" xfId="102" applyFont="1" applyFill="1"/>
    <xf numFmtId="0" fontId="23" fillId="35" borderId="21" xfId="102" applyFont="1" applyFill="1" applyBorder="1" applyAlignment="1">
      <alignment vertical="center"/>
    </xf>
    <xf numFmtId="0" fontId="55" fillId="35" borderId="92" xfId="102" applyFont="1" applyFill="1" applyBorder="1" applyAlignment="1">
      <alignment vertical="center"/>
    </xf>
    <xf numFmtId="0" fontId="1" fillId="35" borderId="0" xfId="102" applyFill="1"/>
    <xf numFmtId="0" fontId="23" fillId="35" borderId="52" xfId="102" applyFont="1" applyFill="1" applyBorder="1" applyAlignment="1">
      <alignment vertical="center"/>
    </xf>
    <xf numFmtId="0" fontId="55" fillId="35" borderId="54" xfId="102" applyFont="1" applyFill="1" applyBorder="1" applyAlignment="1">
      <alignment vertical="center"/>
    </xf>
    <xf numFmtId="0" fontId="24" fillId="35" borderId="0" xfId="102" applyFont="1" applyFill="1" applyBorder="1" applyAlignment="1">
      <alignment vertical="center"/>
    </xf>
    <xf numFmtId="0" fontId="23" fillId="35" borderId="22" xfId="102" applyFont="1" applyFill="1" applyBorder="1" applyAlignment="1">
      <alignment vertical="center"/>
    </xf>
    <xf numFmtId="0" fontId="55" fillId="35" borderId="93" xfId="102" applyFont="1" applyFill="1" applyBorder="1" applyAlignment="1">
      <alignment vertical="center"/>
    </xf>
    <xf numFmtId="0" fontId="22" fillId="34" borderId="52" xfId="102" applyFont="1" applyFill="1" applyBorder="1" applyAlignment="1">
      <alignment horizontal="center" vertical="center"/>
    </xf>
    <xf numFmtId="0" fontId="22" fillId="34" borderId="33" xfId="102" applyFont="1" applyFill="1" applyBorder="1" applyAlignment="1">
      <alignment horizontal="center" vertical="center"/>
    </xf>
    <xf numFmtId="0" fontId="25" fillId="35" borderId="0" xfId="102" applyFont="1" applyFill="1" applyBorder="1" applyAlignment="1">
      <alignment vertical="center"/>
    </xf>
    <xf numFmtId="0" fontId="25" fillId="35" borderId="13" xfId="102" applyFont="1" applyFill="1" applyBorder="1" applyAlignment="1">
      <alignment vertical="center" wrapText="1"/>
    </xf>
    <xf numFmtId="43" fontId="24" fillId="35" borderId="25" xfId="103" applyFont="1" applyFill="1" applyBorder="1" applyAlignment="1">
      <alignment horizontal="left" wrapText="1"/>
    </xf>
    <xf numFmtId="0" fontId="25" fillId="34" borderId="13" xfId="102" applyFont="1" applyFill="1" applyBorder="1" applyAlignment="1">
      <alignment horizontal="left" vertical="center"/>
    </xf>
    <xf numFmtId="4" fontId="25" fillId="34" borderId="25" xfId="102" applyNumberFormat="1" applyFont="1" applyFill="1" applyBorder="1" applyAlignment="1">
      <alignment horizontal="right" vertical="center"/>
    </xf>
    <xf numFmtId="0" fontId="25" fillId="34" borderId="52" xfId="102" applyFont="1" applyFill="1" applyBorder="1" applyAlignment="1">
      <alignment horizontal="left" vertical="center"/>
    </xf>
    <xf numFmtId="4" fontId="25" fillId="34" borderId="36" xfId="102" applyNumberFormat="1" applyFont="1" applyFill="1" applyBorder="1" applyAlignment="1">
      <alignment horizontal="right" vertical="center"/>
    </xf>
    <xf numFmtId="10" fontId="1" fillId="35" borderId="0" xfId="102" applyNumberFormat="1" applyFill="1"/>
    <xf numFmtId="0" fontId="25" fillId="34" borderId="22" xfId="102" applyFont="1" applyFill="1" applyBorder="1" applyAlignment="1">
      <alignment horizontal="left" vertical="center"/>
    </xf>
    <xf numFmtId="4" fontId="25" fillId="34" borderId="37" xfId="102" applyNumberFormat="1" applyFont="1" applyFill="1" applyBorder="1" applyAlignment="1">
      <alignment horizontal="right" vertical="center"/>
    </xf>
    <xf numFmtId="0" fontId="25" fillId="35" borderId="0" xfId="102" applyFont="1" applyFill="1" applyBorder="1" applyAlignment="1">
      <alignment vertical="center" wrapText="1"/>
    </xf>
    <xf numFmtId="43" fontId="25" fillId="35" borderId="0" xfId="103" applyFont="1" applyFill="1" applyBorder="1" applyAlignment="1">
      <alignment vertical="center" wrapText="1"/>
    </xf>
    <xf numFmtId="0" fontId="25" fillId="35" borderId="0" xfId="102" applyFont="1" applyFill="1" applyBorder="1" applyAlignment="1">
      <alignment horizontal="center" vertical="center"/>
    </xf>
    <xf numFmtId="164" fontId="22" fillId="33" borderId="12" xfId="101" applyFont="1" applyFill="1" applyBorder="1" applyAlignment="1">
      <alignment horizontal="center" vertical="center"/>
    </xf>
    <xf numFmtId="10" fontId="23" fillId="0" borderId="11" xfId="38" applyNumberFormat="1" applyFont="1" applyBorder="1" applyAlignment="1">
      <alignment horizontal="center" vertical="center" wrapText="1"/>
    </xf>
    <xf numFmtId="10" fontId="22" fillId="33" borderId="43" xfId="38" applyNumberFormat="1" applyFont="1" applyFill="1" applyBorder="1" applyAlignment="1">
      <alignment horizontal="center" vertical="center" wrapText="1"/>
    </xf>
    <xf numFmtId="0" fontId="32" fillId="37" borderId="53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4" fontId="24" fillId="0" borderId="53" xfId="48" applyNumberFormat="1" applyFont="1" applyFill="1" applyBorder="1" applyAlignment="1">
      <alignment horizontal="center" vertical="center" wrapText="1"/>
    </xf>
    <xf numFmtId="43" fontId="29" fillId="37" borderId="53" xfId="49" applyFont="1" applyFill="1" applyBorder="1" applyAlignment="1">
      <alignment horizontal="right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4" fontId="24" fillId="0" borderId="94" xfId="48" applyNumberFormat="1" applyFont="1" applyBorder="1" applyAlignment="1">
      <alignment horizontal="right" vertical="center" wrapText="1"/>
    </xf>
    <xf numFmtId="165" fontId="23" fillId="36" borderId="53" xfId="48" applyFont="1" applyFill="1" applyBorder="1" applyAlignment="1">
      <alignment horizontal="center" vertical="center" wrapText="1"/>
    </xf>
    <xf numFmtId="0" fontId="0" fillId="41" borderId="87" xfId="0" applyFill="1" applyBorder="1" applyAlignment="1">
      <alignment horizontal="center" vertical="center"/>
    </xf>
    <xf numFmtId="0" fontId="3" fillId="41" borderId="87" xfId="0" applyFont="1" applyFill="1" applyBorder="1" applyAlignment="1">
      <alignment horizontal="center" vertical="center"/>
    </xf>
    <xf numFmtId="0" fontId="25" fillId="33" borderId="12" xfId="0" applyFont="1" applyFill="1" applyBorder="1" applyAlignment="1">
      <alignment vertical="center" wrapText="1"/>
    </xf>
    <xf numFmtId="0" fontId="25" fillId="33" borderId="15" xfId="0" applyFont="1" applyFill="1" applyBorder="1" applyAlignment="1">
      <alignment vertical="center" wrapText="1"/>
    </xf>
    <xf numFmtId="0" fontId="25" fillId="33" borderId="12" xfId="0" applyFont="1" applyFill="1" applyBorder="1" applyAlignment="1">
      <alignment horizontal="left" vertical="center"/>
    </xf>
    <xf numFmtId="0" fontId="25" fillId="33" borderId="15" xfId="0" applyFont="1" applyFill="1" applyBorder="1" applyAlignment="1">
      <alignment vertical="center"/>
    </xf>
    <xf numFmtId="0" fontId="0" fillId="41" borderId="87" xfId="0" applyFill="1" applyBorder="1" applyAlignment="1">
      <alignment horizontal="center" vertical="center"/>
    </xf>
    <xf numFmtId="0" fontId="23" fillId="0" borderId="35" xfId="0" applyFont="1" applyBorder="1" applyAlignment="1">
      <alignment horizontal="left" vertical="center" wrapText="1"/>
    </xf>
    <xf numFmtId="165" fontId="23" fillId="35" borderId="50" xfId="48" applyNumberFormat="1" applyFont="1" applyFill="1" applyBorder="1" applyAlignment="1">
      <alignment horizontal="center" vertical="center"/>
    </xf>
    <xf numFmtId="10" fontId="23" fillId="0" borderId="12" xfId="38" applyNumberFormat="1" applyFont="1" applyBorder="1" applyAlignment="1">
      <alignment horizontal="center" vertical="center" wrapText="1"/>
    </xf>
    <xf numFmtId="4" fontId="25" fillId="33" borderId="43" xfId="48" applyNumberFormat="1" applyFont="1" applyFill="1" applyBorder="1" applyAlignment="1">
      <alignment horizontal="right" vertical="center" wrapText="1"/>
    </xf>
    <xf numFmtId="0" fontId="57" fillId="37" borderId="10" xfId="52" applyFont="1" applyFill="1" applyBorder="1" applyAlignment="1">
      <alignment horizontal="center" vertical="center" wrapText="1"/>
    </xf>
    <xf numFmtId="0" fontId="57" fillId="37" borderId="10" xfId="52" applyFont="1" applyFill="1" applyBorder="1" applyAlignment="1">
      <alignment horizontal="left" vertical="center" wrapText="1"/>
    </xf>
    <xf numFmtId="0" fontId="0" fillId="41" borderId="87" xfId="0" applyFill="1" applyBorder="1" applyAlignment="1">
      <alignment horizontal="center" vertical="center"/>
    </xf>
    <xf numFmtId="167" fontId="0" fillId="0" borderId="87" xfId="0" applyNumberFormat="1" applyBorder="1" applyAlignment="1">
      <alignment horizontal="center" vertical="center"/>
    </xf>
    <xf numFmtId="0" fontId="0" fillId="41" borderId="87" xfId="0" applyFill="1" applyBorder="1" applyAlignment="1">
      <alignment horizontal="center" vertical="center"/>
    </xf>
    <xf numFmtId="0" fontId="57" fillId="37" borderId="10" xfId="52" applyFont="1" applyFill="1" applyBorder="1" applyAlignment="1">
      <alignment horizontal="right" vertical="center" wrapText="1"/>
    </xf>
    <xf numFmtId="43" fontId="57" fillId="0" borderId="10" xfId="49" applyFont="1" applyFill="1" applyBorder="1" applyAlignment="1">
      <alignment horizontal="right" vertical="center" wrapText="1"/>
    </xf>
    <xf numFmtId="0" fontId="26" fillId="35" borderId="44" xfId="0" applyFont="1" applyFill="1" applyBorder="1" applyAlignment="1">
      <alignment horizontal="left" vertical="center" wrapText="1"/>
    </xf>
    <xf numFmtId="4" fontId="24" fillId="0" borderId="12" xfId="48" applyNumberFormat="1" applyFont="1" applyFill="1" applyBorder="1" applyAlignment="1">
      <alignment horizontal="center" vertical="center" wrapText="1"/>
    </xf>
    <xf numFmtId="0" fontId="30" fillId="37" borderId="12" xfId="0" applyFont="1" applyFill="1" applyBorder="1" applyAlignment="1">
      <alignment horizontal="center" vertical="center" wrapText="1"/>
    </xf>
    <xf numFmtId="43" fontId="29" fillId="37" borderId="12" xfId="49" applyFont="1" applyFill="1" applyBorder="1" applyAlignment="1">
      <alignment horizontal="right" vertical="center" wrapText="1"/>
    </xf>
    <xf numFmtId="0" fontId="0" fillId="41" borderId="87" xfId="0" applyFill="1" applyBorder="1" applyAlignment="1">
      <alignment horizontal="center" vertical="center"/>
    </xf>
    <xf numFmtId="0" fontId="25" fillId="33" borderId="12" xfId="0" applyFont="1" applyFill="1" applyBorder="1" applyAlignment="1">
      <alignment vertical="center"/>
    </xf>
    <xf numFmtId="4" fontId="23" fillId="0" borderId="45" xfId="0" applyNumberFormat="1" applyFont="1" applyBorder="1" applyAlignment="1">
      <alignment horizontal="left" vertical="center" wrapText="1"/>
    </xf>
    <xf numFmtId="0" fontId="26" fillId="0" borderId="96" xfId="0" applyFont="1" applyBorder="1" applyAlignment="1">
      <alignment vertical="center" wrapText="1"/>
    </xf>
    <xf numFmtId="4" fontId="24" fillId="33" borderId="10" xfId="48" applyNumberFormat="1" applyFont="1" applyFill="1" applyBorder="1" applyAlignment="1">
      <alignment horizontal="right" vertical="center" wrapText="1"/>
    </xf>
    <xf numFmtId="4" fontId="26" fillId="33" borderId="44" xfId="0" applyNumberFormat="1" applyFont="1" applyFill="1" applyBorder="1" applyAlignment="1">
      <alignment vertical="center" wrapText="1"/>
    </xf>
    <xf numFmtId="0" fontId="26" fillId="0" borderId="99" xfId="0" applyFont="1" applyBorder="1" applyAlignment="1">
      <alignment horizontal="center" vertical="center" wrapText="1"/>
    </xf>
    <xf numFmtId="4" fontId="26" fillId="0" borderId="98" xfId="0" applyNumberFormat="1" applyFont="1" applyBorder="1" applyAlignment="1">
      <alignment horizontal="center" vertical="center" wrapText="1"/>
    </xf>
    <xf numFmtId="0" fontId="25" fillId="33" borderId="42" xfId="0" applyFont="1" applyFill="1" applyBorder="1" applyAlignment="1">
      <alignment horizontal="center" vertical="center"/>
    </xf>
    <xf numFmtId="0" fontId="24" fillId="35" borderId="0" xfId="0" applyFont="1" applyFill="1" applyAlignment="1">
      <alignment vertical="center" wrapText="1"/>
    </xf>
    <xf numFmtId="0" fontId="24" fillId="0" borderId="87" xfId="0" applyFont="1" applyFill="1" applyBorder="1" applyAlignment="1">
      <alignment vertical="center" wrapText="1"/>
    </xf>
    <xf numFmtId="0" fontId="26" fillId="35" borderId="44" xfId="0" applyFont="1" applyFill="1" applyBorder="1" applyAlignment="1">
      <alignment horizontal="center" vertical="center" wrapText="1"/>
    </xf>
    <xf numFmtId="0" fontId="26" fillId="35" borderId="44" xfId="0" applyFont="1" applyFill="1" applyBorder="1" applyAlignment="1">
      <alignment vertical="center" wrapText="1"/>
    </xf>
    <xf numFmtId="0" fontId="0" fillId="41" borderId="87" xfId="0" applyFill="1" applyBorder="1" applyAlignment="1">
      <alignment horizontal="center" vertical="center"/>
    </xf>
    <xf numFmtId="4" fontId="25" fillId="34" borderId="101" xfId="48" applyNumberFormat="1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2" fillId="34" borderId="14" xfId="0" applyFont="1" applyFill="1" applyBorder="1" applyAlignment="1">
      <alignment horizontal="center" vertical="center"/>
    </xf>
    <xf numFmtId="0" fontId="22" fillId="34" borderId="17" xfId="0" applyFont="1" applyFill="1" applyBorder="1" applyAlignment="1">
      <alignment horizontal="center" vertical="center"/>
    </xf>
    <xf numFmtId="0" fontId="22" fillId="34" borderId="29" xfId="0" applyFont="1" applyFill="1" applyBorder="1" applyAlignment="1">
      <alignment horizontal="center" vertical="center"/>
    </xf>
    <xf numFmtId="0" fontId="22" fillId="34" borderId="31" xfId="0" applyFont="1" applyFill="1" applyBorder="1" applyAlignment="1">
      <alignment horizontal="center" vertical="center"/>
    </xf>
    <xf numFmtId="4" fontId="22" fillId="34" borderId="29" xfId="0" applyNumberFormat="1" applyFont="1" applyFill="1" applyBorder="1" applyAlignment="1">
      <alignment horizontal="center" vertical="center"/>
    </xf>
    <xf numFmtId="4" fontId="22" fillId="34" borderId="30" xfId="0" applyNumberFormat="1" applyFont="1" applyFill="1" applyBorder="1" applyAlignment="1">
      <alignment horizontal="center" vertical="center"/>
    </xf>
    <xf numFmtId="165" fontId="22" fillId="34" borderId="41" xfId="48" applyFont="1" applyFill="1" applyBorder="1" applyAlignment="1">
      <alignment horizontal="center" vertical="center"/>
    </xf>
    <xf numFmtId="165" fontId="22" fillId="34" borderId="43" xfId="48" applyFont="1" applyFill="1" applyBorder="1" applyAlignment="1">
      <alignment horizontal="center" vertical="center"/>
    </xf>
    <xf numFmtId="165" fontId="22" fillId="34" borderId="13" xfId="48" quotePrefix="1" applyFont="1" applyFill="1" applyBorder="1" applyAlignment="1">
      <alignment horizontal="center" vertical="center"/>
    </xf>
    <xf numFmtId="165" fontId="22" fillId="34" borderId="23" xfId="48" quotePrefix="1" applyFont="1" applyFill="1" applyBorder="1" applyAlignment="1">
      <alignment horizontal="center" vertical="center"/>
    </xf>
    <xf numFmtId="165" fontId="22" fillId="34" borderId="17" xfId="48" quotePrefix="1" applyFont="1" applyFill="1" applyBorder="1" applyAlignment="1">
      <alignment horizontal="center" vertical="center"/>
    </xf>
    <xf numFmtId="165" fontId="22" fillId="34" borderId="26" xfId="48" quotePrefix="1" applyFont="1" applyFill="1" applyBorder="1" applyAlignment="1">
      <alignment horizontal="center" vertical="center"/>
    </xf>
    <xf numFmtId="0" fontId="22" fillId="34" borderId="15" xfId="0" applyFont="1" applyFill="1" applyBorder="1" applyAlignment="1">
      <alignment horizontal="center" vertical="center"/>
    </xf>
    <xf numFmtId="0" fontId="22" fillId="34" borderId="38" xfId="0" applyFont="1" applyFill="1" applyBorder="1" applyAlignment="1">
      <alignment horizontal="center" vertical="center"/>
    </xf>
    <xf numFmtId="4" fontId="22" fillId="34" borderId="40" xfId="48" applyNumberFormat="1" applyFont="1" applyFill="1" applyBorder="1" applyAlignment="1">
      <alignment horizontal="center" vertical="center"/>
    </xf>
    <xf numFmtId="4" fontId="22" fillId="34" borderId="55" xfId="48" applyNumberFormat="1" applyFont="1" applyFill="1" applyBorder="1" applyAlignment="1">
      <alignment horizontal="center" vertical="center"/>
    </xf>
    <xf numFmtId="9" fontId="22" fillId="34" borderId="36" xfId="0" applyNumberFormat="1" applyFont="1" applyFill="1" applyBorder="1" applyAlignment="1">
      <alignment horizontal="center" vertical="center"/>
    </xf>
    <xf numFmtId="9" fontId="22" fillId="34" borderId="37" xfId="0" applyNumberFormat="1" applyFont="1" applyFill="1" applyBorder="1" applyAlignment="1">
      <alignment horizontal="center" vertical="center"/>
    </xf>
    <xf numFmtId="0" fontId="22" fillId="0" borderId="18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5" fillId="33" borderId="12" xfId="0" applyFont="1" applyFill="1" applyBorder="1" applyAlignment="1">
      <alignment horizontal="left" vertical="center" wrapText="1"/>
    </xf>
    <xf numFmtId="0" fontId="25" fillId="34" borderId="77" xfId="0" applyFont="1" applyFill="1" applyBorder="1" applyAlignment="1">
      <alignment horizontal="center" vertical="center" wrapText="1"/>
    </xf>
    <xf numFmtId="0" fontId="25" fillId="34" borderId="78" xfId="0" applyFont="1" applyFill="1" applyBorder="1" applyAlignment="1">
      <alignment horizontal="center" vertical="center" wrapText="1"/>
    </xf>
    <xf numFmtId="0" fontId="25" fillId="34" borderId="79" xfId="0" applyFont="1" applyFill="1" applyBorder="1" applyAlignment="1">
      <alignment horizontal="center" vertical="center" wrapText="1"/>
    </xf>
    <xf numFmtId="0" fontId="25" fillId="34" borderId="65" xfId="0" applyFont="1" applyFill="1" applyBorder="1" applyAlignment="1">
      <alignment horizontal="center" vertical="center" wrapText="1"/>
    </xf>
    <xf numFmtId="0" fontId="25" fillId="34" borderId="12" xfId="0" applyFont="1" applyFill="1" applyBorder="1" applyAlignment="1">
      <alignment horizontal="center" vertical="center" wrapText="1"/>
    </xf>
    <xf numFmtId="0" fontId="25" fillId="34" borderId="23" xfId="0" applyFont="1" applyFill="1" applyBorder="1" applyAlignment="1">
      <alignment horizontal="center" vertical="center" wrapText="1"/>
    </xf>
    <xf numFmtId="0" fontId="25" fillId="34" borderId="72" xfId="0" applyFont="1" applyFill="1" applyBorder="1" applyAlignment="1">
      <alignment horizontal="center" vertical="center" wrapText="1"/>
    </xf>
    <xf numFmtId="0" fontId="25" fillId="34" borderId="73" xfId="0" applyFont="1" applyFill="1" applyBorder="1" applyAlignment="1">
      <alignment horizontal="center" vertical="center" wrapText="1"/>
    </xf>
    <xf numFmtId="0" fontId="25" fillId="34" borderId="74" xfId="0" applyFont="1" applyFill="1" applyBorder="1" applyAlignment="1">
      <alignment horizontal="center" vertical="center" wrapText="1"/>
    </xf>
    <xf numFmtId="4" fontId="25" fillId="34" borderId="58" xfId="48" applyNumberFormat="1" applyFont="1" applyFill="1" applyBorder="1" applyAlignment="1">
      <alignment horizontal="center" vertical="center" wrapText="1"/>
    </xf>
    <xf numFmtId="4" fontId="25" fillId="34" borderId="20" xfId="48" applyNumberFormat="1" applyFont="1" applyFill="1" applyBorder="1" applyAlignment="1">
      <alignment horizontal="center" vertical="center" wrapText="1"/>
    </xf>
    <xf numFmtId="4" fontId="25" fillId="34" borderId="59" xfId="48" applyNumberFormat="1" applyFont="1" applyFill="1" applyBorder="1" applyAlignment="1">
      <alignment horizontal="center" vertical="center" wrapText="1"/>
    </xf>
    <xf numFmtId="4" fontId="25" fillId="34" borderId="31" xfId="48" applyNumberFormat="1" applyFont="1" applyFill="1" applyBorder="1" applyAlignment="1">
      <alignment horizontal="center" vertical="center" wrapText="1"/>
    </xf>
    <xf numFmtId="4" fontId="25" fillId="34" borderId="60" xfId="48" applyNumberFormat="1" applyFont="1" applyFill="1" applyBorder="1" applyAlignment="1">
      <alignment horizontal="center" vertical="center" wrapText="1"/>
    </xf>
    <xf numFmtId="4" fontId="25" fillId="34" borderId="62" xfId="48" applyNumberFormat="1" applyFont="1" applyFill="1" applyBorder="1" applyAlignment="1">
      <alignment horizontal="center" vertical="center" wrapText="1"/>
    </xf>
    <xf numFmtId="0" fontId="25" fillId="33" borderId="15" xfId="0" applyFont="1" applyFill="1" applyBorder="1" applyAlignment="1">
      <alignment horizontal="left" vertical="center" wrapText="1"/>
    </xf>
    <xf numFmtId="0" fontId="25" fillId="34" borderId="57" xfId="0" applyFont="1" applyFill="1" applyBorder="1" applyAlignment="1">
      <alignment vertical="center" wrapText="1"/>
    </xf>
    <xf numFmtId="0" fontId="25" fillId="34" borderId="61" xfId="0" applyFont="1" applyFill="1" applyBorder="1" applyAlignment="1">
      <alignment vertical="center" wrapText="1"/>
    </xf>
    <xf numFmtId="1" fontId="25" fillId="34" borderId="58" xfId="0" applyNumberFormat="1" applyFont="1" applyFill="1" applyBorder="1" applyAlignment="1">
      <alignment horizontal="center" vertical="center" wrapText="1"/>
    </xf>
    <xf numFmtId="1" fontId="25" fillId="34" borderId="20" xfId="0" applyNumberFormat="1" applyFont="1" applyFill="1" applyBorder="1" applyAlignment="1">
      <alignment horizontal="center" vertical="center" wrapText="1"/>
    </xf>
    <xf numFmtId="0" fontId="25" fillId="34" borderId="59" xfId="0" applyFont="1" applyFill="1" applyBorder="1" applyAlignment="1">
      <alignment horizontal="center" vertical="center" wrapText="1"/>
    </xf>
    <xf numFmtId="0" fontId="25" fillId="34" borderId="31" xfId="0" applyFont="1" applyFill="1" applyBorder="1" applyAlignment="1">
      <alignment horizontal="center" vertical="center" wrapText="1"/>
    </xf>
    <xf numFmtId="165" fontId="25" fillId="34" borderId="59" xfId="48" applyFont="1" applyFill="1" applyBorder="1" applyAlignment="1">
      <alignment horizontal="center" vertical="center" wrapText="1"/>
    </xf>
    <xf numFmtId="165" fontId="25" fillId="34" borderId="31" xfId="48" applyFont="1" applyFill="1" applyBorder="1" applyAlignment="1">
      <alignment horizontal="center" vertical="center" wrapText="1"/>
    </xf>
    <xf numFmtId="0" fontId="25" fillId="34" borderId="27" xfId="0" applyFont="1" applyFill="1" applyBorder="1" applyAlignment="1">
      <alignment horizontal="center" vertical="center" wrapText="1"/>
    </xf>
    <xf numFmtId="0" fontId="25" fillId="34" borderId="21" xfId="0" applyFont="1" applyFill="1" applyBorder="1" applyAlignment="1">
      <alignment vertical="center" wrapText="1"/>
    </xf>
    <xf numFmtId="0" fontId="25" fillId="34" borderId="22" xfId="0" applyFont="1" applyFill="1" applyBorder="1" applyAlignment="1">
      <alignment vertical="center" wrapText="1"/>
    </xf>
    <xf numFmtId="1" fontId="25" fillId="34" borderId="19" xfId="0" applyNumberFormat="1" applyFont="1" applyFill="1" applyBorder="1" applyAlignment="1">
      <alignment horizontal="center" vertical="center" wrapText="1"/>
    </xf>
    <xf numFmtId="0" fontId="25" fillId="34" borderId="29" xfId="0" applyFont="1" applyFill="1" applyBorder="1" applyAlignment="1">
      <alignment horizontal="center" vertical="center" wrapText="1"/>
    </xf>
    <xf numFmtId="165" fontId="25" fillId="34" borderId="29" xfId="48" applyFont="1" applyFill="1" applyBorder="1" applyAlignment="1">
      <alignment horizontal="center" vertical="center" wrapText="1"/>
    </xf>
    <xf numFmtId="4" fontId="25" fillId="34" borderId="29" xfId="48" applyNumberFormat="1" applyFont="1" applyFill="1" applyBorder="1" applyAlignment="1">
      <alignment horizontal="center" vertical="center" wrapText="1"/>
    </xf>
    <xf numFmtId="4" fontId="25" fillId="34" borderId="19" xfId="48" applyNumberFormat="1" applyFont="1" applyFill="1" applyBorder="1" applyAlignment="1">
      <alignment horizontal="center" vertical="center" wrapText="1"/>
    </xf>
    <xf numFmtId="0" fontId="25" fillId="33" borderId="46" xfId="0" applyFont="1" applyFill="1" applyBorder="1" applyAlignment="1">
      <alignment horizontal="left" vertical="center" wrapText="1"/>
    </xf>
    <xf numFmtId="4" fontId="26" fillId="0" borderId="97" xfId="0" applyNumberFormat="1" applyFont="1" applyBorder="1" applyAlignment="1">
      <alignment horizontal="center" vertical="center" wrapText="1"/>
    </xf>
    <xf numFmtId="4" fontId="26" fillId="0" borderId="34" xfId="0" applyNumberFormat="1" applyFont="1" applyBorder="1" applyAlignment="1">
      <alignment horizontal="center" vertical="center" wrapText="1"/>
    </xf>
    <xf numFmtId="0" fontId="25" fillId="33" borderId="47" xfId="0" applyFont="1" applyFill="1" applyBorder="1" applyAlignment="1">
      <alignment horizontal="left" vertical="center" wrapText="1"/>
    </xf>
    <xf numFmtId="0" fontId="25" fillId="33" borderId="10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35" borderId="0" xfId="0" applyFont="1" applyFill="1" applyAlignment="1">
      <alignment horizontal="center" vertical="center" wrapText="1"/>
    </xf>
    <xf numFmtId="4" fontId="25" fillId="34" borderId="30" xfId="48" applyNumberFormat="1" applyFont="1" applyFill="1" applyBorder="1" applyAlignment="1">
      <alignment horizontal="center" vertical="center" wrapText="1"/>
    </xf>
    <xf numFmtId="4" fontId="25" fillId="34" borderId="32" xfId="48" applyNumberFormat="1" applyFont="1" applyFill="1" applyBorder="1" applyAlignment="1">
      <alignment horizontal="center" vertical="center" wrapText="1"/>
    </xf>
    <xf numFmtId="0" fontId="25" fillId="33" borderId="42" xfId="0" applyFont="1" applyFill="1" applyBorder="1" applyAlignment="1">
      <alignment horizontal="left" vertical="center" wrapText="1"/>
    </xf>
    <xf numFmtId="0" fontId="25" fillId="34" borderId="85" xfId="0" applyFont="1" applyFill="1" applyBorder="1" applyAlignment="1">
      <alignment horizontal="center" vertical="center" wrapText="1"/>
    </xf>
    <xf numFmtId="0" fontId="25" fillId="34" borderId="86" xfId="0" applyFont="1" applyFill="1" applyBorder="1" applyAlignment="1">
      <alignment horizontal="center" vertical="center" wrapText="1"/>
    </xf>
    <xf numFmtId="0" fontId="0" fillId="0" borderId="9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/>
    </xf>
    <xf numFmtId="167" fontId="0" fillId="0" borderId="95" xfId="0" applyNumberFormat="1" applyBorder="1" applyAlignment="1">
      <alignment horizontal="center" vertical="center"/>
    </xf>
    <xf numFmtId="167" fontId="0" fillId="0" borderId="36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 vertical="center"/>
    </xf>
    <xf numFmtId="0" fontId="3" fillId="0" borderId="9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167" fontId="0" fillId="0" borderId="87" xfId="0" applyNumberFormat="1" applyBorder="1" applyAlignment="1">
      <alignment horizontal="center" vertical="center"/>
    </xf>
    <xf numFmtId="0" fontId="56" fillId="41" borderId="87" xfId="0" applyFont="1" applyFill="1" applyBorder="1" applyAlignment="1">
      <alignment horizontal="center"/>
    </xf>
    <xf numFmtId="0" fontId="0" fillId="41" borderId="87" xfId="0" applyFill="1" applyBorder="1" applyAlignment="1">
      <alignment horizontal="center" vertical="center"/>
    </xf>
    <xf numFmtId="0" fontId="3" fillId="41" borderId="87" xfId="0" applyFont="1" applyFill="1" applyBorder="1" applyAlignment="1">
      <alignment horizontal="center" vertical="center"/>
    </xf>
    <xf numFmtId="0" fontId="0" fillId="41" borderId="88" xfId="0" applyFill="1" applyBorder="1" applyAlignment="1">
      <alignment horizontal="center" vertical="center"/>
    </xf>
    <xf numFmtId="0" fontId="0" fillId="41" borderId="89" xfId="0" applyFill="1" applyBorder="1" applyAlignment="1">
      <alignment horizontal="center" vertical="center"/>
    </xf>
    <xf numFmtId="0" fontId="0" fillId="41" borderId="90" xfId="0" applyFill="1" applyBorder="1" applyAlignment="1">
      <alignment horizontal="center" vertical="center"/>
    </xf>
    <xf numFmtId="0" fontId="0" fillId="41" borderId="87" xfId="0" applyFill="1" applyBorder="1" applyAlignment="1">
      <alignment horizontal="center" vertical="center" wrapText="1"/>
    </xf>
    <xf numFmtId="0" fontId="0" fillId="0" borderId="87" xfId="0" applyFill="1" applyBorder="1" applyAlignment="1">
      <alignment horizontal="center" vertical="center" wrapText="1"/>
    </xf>
    <xf numFmtId="167" fontId="0" fillId="0" borderId="87" xfId="53" applyNumberFormat="1" applyFont="1" applyBorder="1" applyAlignment="1">
      <alignment horizontal="center" vertical="center"/>
    </xf>
    <xf numFmtId="164" fontId="0" fillId="0" borderId="87" xfId="53" applyNumberFormat="1" applyFont="1" applyBorder="1" applyAlignment="1">
      <alignment horizontal="center" vertical="center"/>
    </xf>
    <xf numFmtId="0" fontId="3" fillId="0" borderId="87" xfId="0" applyFont="1" applyFill="1" applyBorder="1" applyAlignment="1">
      <alignment horizontal="center" vertical="center" wrapText="1"/>
    </xf>
    <xf numFmtId="167" fontId="3" fillId="0" borderId="87" xfId="53" applyNumberFormat="1" applyFont="1" applyBorder="1" applyAlignment="1">
      <alignment horizontal="center" vertical="center"/>
    </xf>
    <xf numFmtId="0" fontId="2" fillId="35" borderId="0" xfId="95" applyFill="1" applyAlignment="1">
      <alignment horizontal="center" vertical="center"/>
    </xf>
    <xf numFmtId="0" fontId="48" fillId="38" borderId="0" xfId="95" applyFont="1" applyFill="1" applyAlignment="1">
      <alignment horizontal="center"/>
    </xf>
    <xf numFmtId="0" fontId="49" fillId="35" borderId="0" xfId="95" applyFont="1" applyFill="1" applyAlignment="1">
      <alignment horizontal="center" vertical="center" wrapText="1"/>
    </xf>
    <xf numFmtId="0" fontId="21" fillId="35" borderId="0" xfId="95" applyFont="1" applyFill="1" applyAlignment="1">
      <alignment horizontal="right" vertical="center" wrapText="1"/>
    </xf>
    <xf numFmtId="0" fontId="2" fillId="35" borderId="0" xfId="95" applyFill="1" applyAlignment="1">
      <alignment horizontal="center"/>
    </xf>
    <xf numFmtId="0" fontId="52" fillId="35" borderId="88" xfId="95" applyFont="1" applyFill="1" applyBorder="1" applyAlignment="1">
      <alignment horizontal="center" vertical="center"/>
    </xf>
    <xf numFmtId="0" fontId="52" fillId="35" borderId="89" xfId="95" applyFont="1" applyFill="1" applyBorder="1" applyAlignment="1">
      <alignment horizontal="center" vertical="center"/>
    </xf>
    <xf numFmtId="0" fontId="50" fillId="33" borderId="0" xfId="95" applyFont="1" applyFill="1" applyAlignment="1">
      <alignment horizontal="center"/>
    </xf>
    <xf numFmtId="0" fontId="2" fillId="35" borderId="88" xfId="95" applyFill="1" applyBorder="1" applyAlignment="1">
      <alignment horizontal="center" vertical="center"/>
    </xf>
    <xf numFmtId="0" fontId="2" fillId="35" borderId="89" xfId="95" applyFill="1" applyBorder="1" applyAlignment="1">
      <alignment horizontal="center" vertical="center"/>
    </xf>
  </cellXfs>
  <cellStyles count="104">
    <cellStyle name="20% - Ênfase1" xfId="1" builtinId="30" customBuiltin="1"/>
    <cellStyle name="20% - Ênfase1 2" xfId="54"/>
    <cellStyle name="20% - Ênfase2" xfId="2" builtinId="34" customBuiltin="1"/>
    <cellStyle name="20% - Ênfase2 2" xfId="55"/>
    <cellStyle name="20% - Ênfase3" xfId="3" builtinId="38" customBuiltin="1"/>
    <cellStyle name="20% - Ênfase3 2" xfId="56"/>
    <cellStyle name="20% - Ênfase4" xfId="4" builtinId="42" customBuiltin="1"/>
    <cellStyle name="20% - Ênfase4 2" xfId="57"/>
    <cellStyle name="20% - Ênfase5" xfId="5" builtinId="46" customBuiltin="1"/>
    <cellStyle name="20% - Ênfase5 2" xfId="58"/>
    <cellStyle name="20% - Ênfase6" xfId="6" builtinId="50" customBuiltin="1"/>
    <cellStyle name="20% - Ênfase6 2" xfId="59"/>
    <cellStyle name="40% - Ênfase1" xfId="7" builtinId="31" customBuiltin="1"/>
    <cellStyle name="40% - Ênfase1 2" xfId="60"/>
    <cellStyle name="40% - Ênfase2" xfId="8" builtinId="35" customBuiltin="1"/>
    <cellStyle name="40% - Ênfase2 2" xfId="61"/>
    <cellStyle name="40% - Ênfase3" xfId="9" builtinId="39" customBuiltin="1"/>
    <cellStyle name="40% - Ênfase3 2" xfId="62"/>
    <cellStyle name="40% - Ênfase4" xfId="10" builtinId="43" customBuiltin="1"/>
    <cellStyle name="40% - Ênfase4 2" xfId="63"/>
    <cellStyle name="40% - Ênfase5" xfId="11" builtinId="47" customBuiltin="1"/>
    <cellStyle name="40% - Ênfase5 2" xfId="64"/>
    <cellStyle name="40% - Ênfase6" xfId="12" builtinId="51" customBuiltin="1"/>
    <cellStyle name="40% - Ênfase6 2" xfId="65"/>
    <cellStyle name="60% - Ênfase1" xfId="13" builtinId="32" customBuiltin="1"/>
    <cellStyle name="60% - Ênfase1 2" xfId="66"/>
    <cellStyle name="60% - Ênfase2" xfId="14" builtinId="36" customBuiltin="1"/>
    <cellStyle name="60% - Ênfase2 2" xfId="67"/>
    <cellStyle name="60% - Ênfase3" xfId="15" builtinId="40" customBuiltin="1"/>
    <cellStyle name="60% - Ênfase3 2" xfId="68"/>
    <cellStyle name="60% - Ênfase4" xfId="16" builtinId="44" customBuiltin="1"/>
    <cellStyle name="60% - Ênfase4 2" xfId="69"/>
    <cellStyle name="60% - Ênfase5" xfId="17" builtinId="48" customBuiltin="1"/>
    <cellStyle name="60% - Ênfase5 2" xfId="70"/>
    <cellStyle name="60% - Ênfase6" xfId="18" builtinId="52" customBuiltin="1"/>
    <cellStyle name="60% - Ênfase6 2" xfId="71"/>
    <cellStyle name="Bom" xfId="19" builtinId="26" customBuiltin="1"/>
    <cellStyle name="Bom 2" xfId="72"/>
    <cellStyle name="Cálculo" xfId="20" builtinId="22" customBuiltin="1"/>
    <cellStyle name="Cálculo 2" xfId="73"/>
    <cellStyle name="Célula de Verificação" xfId="21" builtinId="23" customBuiltin="1"/>
    <cellStyle name="Célula de Verificação 2" xfId="74"/>
    <cellStyle name="Célula Vinculada" xfId="22" builtinId="24" customBuiltin="1"/>
    <cellStyle name="Célula Vinculada 2" xfId="75"/>
    <cellStyle name="Ênfase1" xfId="23" builtinId="29" customBuiltin="1"/>
    <cellStyle name="Ênfase1 2" xfId="76"/>
    <cellStyle name="Ênfase2" xfId="24" builtinId="33" customBuiltin="1"/>
    <cellStyle name="Ênfase2 2" xfId="77"/>
    <cellStyle name="Ênfase3" xfId="25" builtinId="37" customBuiltin="1"/>
    <cellStyle name="Ênfase3 2" xfId="78"/>
    <cellStyle name="Ênfase4" xfId="26" builtinId="41" customBuiltin="1"/>
    <cellStyle name="Ênfase4 2" xfId="79"/>
    <cellStyle name="Ênfase5" xfId="27" builtinId="45" customBuiltin="1"/>
    <cellStyle name="Ênfase5 2" xfId="80"/>
    <cellStyle name="Ênfase6" xfId="28" builtinId="49" customBuiltin="1"/>
    <cellStyle name="Ênfase6 2" xfId="81"/>
    <cellStyle name="Entrada" xfId="29" builtinId="20" customBuiltin="1"/>
    <cellStyle name="Entrada 2" xfId="82"/>
    <cellStyle name="Incorreto" xfId="30" builtinId="27" customBuiltin="1"/>
    <cellStyle name="Incorreto 2" xfId="83"/>
    <cellStyle name="Moeda" xfId="101" builtinId="4"/>
    <cellStyle name="Moeda 2" xfId="53"/>
    <cellStyle name="Neutra" xfId="31" builtinId="28" customBuiltin="1"/>
    <cellStyle name="Neutra 2" xfId="84"/>
    <cellStyle name="Normal" xfId="0" builtinId="0"/>
    <cellStyle name="Normal 2" xfId="32"/>
    <cellStyle name="Normal 2 2" xfId="33"/>
    <cellStyle name="Normal 2 2 2" xfId="52"/>
    <cellStyle name="Normal 2 3" xfId="51"/>
    <cellStyle name="Normal 3" xfId="34"/>
    <cellStyle name="Normal 3 2" xfId="35"/>
    <cellStyle name="Normal 4" xfId="36"/>
    <cellStyle name="Normal 5" xfId="50"/>
    <cellStyle name="Normal 6" xfId="95"/>
    <cellStyle name="Normal 7" xfId="102"/>
    <cellStyle name="Nota 2" xfId="37"/>
    <cellStyle name="Porcentagem" xfId="38" builtinId="5"/>
    <cellStyle name="Porcentagem 2" xfId="85"/>
    <cellStyle name="Porcentagem 3" xfId="96"/>
    <cellStyle name="Saída" xfId="39" builtinId="21" customBuiltin="1"/>
    <cellStyle name="Saída 2" xfId="86"/>
    <cellStyle name="Separador de milhares 2" xfId="103"/>
    <cellStyle name="Separador de milhares 3" xfId="97"/>
    <cellStyle name="Separador de milhares 3 2" xfId="98"/>
    <cellStyle name="Texto de Aviso" xfId="40" builtinId="11" customBuiltin="1"/>
    <cellStyle name="Texto de Aviso 2" xfId="87"/>
    <cellStyle name="Texto Explicativo" xfId="41" builtinId="53" customBuiltin="1"/>
    <cellStyle name="Texto Explicativo 2" xfId="88"/>
    <cellStyle name="Título" xfId="42" builtinId="15" customBuiltin="1"/>
    <cellStyle name="Título 1" xfId="43" builtinId="16" customBuiltin="1"/>
    <cellStyle name="Título 1 2" xfId="89"/>
    <cellStyle name="Título 2" xfId="44" builtinId="17" customBuiltin="1"/>
    <cellStyle name="Título 2 2" xfId="90"/>
    <cellStyle name="Título 3" xfId="45" builtinId="18" customBuiltin="1"/>
    <cellStyle name="Título 3 2" xfId="91"/>
    <cellStyle name="Título 4" xfId="46" builtinId="19" customBuiltin="1"/>
    <cellStyle name="Título 4 2" xfId="92"/>
    <cellStyle name="Total" xfId="47" builtinId="25" customBuiltin="1"/>
    <cellStyle name="Total 2" xfId="93"/>
    <cellStyle name="Vírgula" xfId="48" builtinId="3"/>
    <cellStyle name="Vírgula 2" xfId="49"/>
    <cellStyle name="Vírgula 2 2" xfId="94"/>
    <cellStyle name="Vírgula 3" xfId="99"/>
    <cellStyle name="Vírgula 4" xfId="10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</xdr:colOff>
      <xdr:row>0</xdr:row>
      <xdr:rowOff>47625</xdr:rowOff>
    </xdr:from>
    <xdr:to>
      <xdr:col>2</xdr:col>
      <xdr:colOff>800100</xdr:colOff>
      <xdr:row>4</xdr:row>
      <xdr:rowOff>83067</xdr:rowOff>
    </xdr:to>
    <xdr:pic>
      <xdr:nvPicPr>
        <xdr:cNvPr id="2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" y="47625"/>
          <a:ext cx="1223963" cy="68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619125</xdr:colOff>
      <xdr:row>1</xdr:row>
      <xdr:rowOff>57150</xdr:rowOff>
    </xdr:from>
    <xdr:ext cx="8220075" cy="593304"/>
    <xdr:sp macro="" textlink="">
      <xdr:nvSpPr>
        <xdr:cNvPr id="3" name="Retângulo 2"/>
        <xdr:cNvSpPr/>
      </xdr:nvSpPr>
      <xdr:spPr>
        <a:xfrm>
          <a:off x="1333500" y="219075"/>
          <a:ext cx="8220075" cy="5933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Escritório Regional</a:t>
          </a:r>
          <a:r>
            <a:rPr lang="pt-BR" sz="32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de </a:t>
          </a:r>
          <a:r>
            <a:rPr lang="pt-BR" sz="32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Ubatuba (Cronograma)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1114424</xdr:colOff>
      <xdr:row>0</xdr:row>
      <xdr:rowOff>123825</xdr:rowOff>
    </xdr:from>
    <xdr:ext cx="3076576" cy="743011"/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247774" y="12382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166148</xdr:rowOff>
    </xdr:from>
    <xdr:to>
      <xdr:col>2</xdr:col>
      <xdr:colOff>1028700</xdr:colOff>
      <xdr:row>4</xdr:row>
      <xdr:rowOff>166148</xdr:rowOff>
    </xdr:to>
    <xdr:pic>
      <xdr:nvPicPr>
        <xdr:cNvPr id="2" name="Imagem 5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66148"/>
          <a:ext cx="1504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171451</xdr:colOff>
      <xdr:row>0</xdr:row>
      <xdr:rowOff>171450</xdr:rowOff>
    </xdr:from>
    <xdr:ext cx="9886950" cy="655885"/>
    <xdr:sp macro="" textlink="">
      <xdr:nvSpPr>
        <xdr:cNvPr id="3" name="Retângulo 2"/>
        <xdr:cNvSpPr/>
      </xdr:nvSpPr>
      <xdr:spPr>
        <a:xfrm>
          <a:off x="1657351" y="171450"/>
          <a:ext cx="9886950" cy="65588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Escritório</a:t>
          </a:r>
          <a:r>
            <a:rPr lang="pt-BR" sz="36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Regional de Ubatuba (Serv. Gerais)</a:t>
          </a:r>
          <a:endParaRPr lang="pt-BR" sz="36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166148</xdr:rowOff>
    </xdr:from>
    <xdr:to>
      <xdr:col>2</xdr:col>
      <xdr:colOff>1028700</xdr:colOff>
      <xdr:row>4</xdr:row>
      <xdr:rowOff>166148</xdr:rowOff>
    </xdr:to>
    <xdr:pic>
      <xdr:nvPicPr>
        <xdr:cNvPr id="2" name="Imagem 5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66148"/>
          <a:ext cx="1504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171450</xdr:colOff>
      <xdr:row>0</xdr:row>
      <xdr:rowOff>171450</xdr:rowOff>
    </xdr:from>
    <xdr:ext cx="11408935" cy="655885"/>
    <xdr:sp macro="" textlink="">
      <xdr:nvSpPr>
        <xdr:cNvPr id="3" name="Retângulo 2"/>
        <xdr:cNvSpPr/>
      </xdr:nvSpPr>
      <xdr:spPr>
        <a:xfrm>
          <a:off x="1657350" y="171450"/>
          <a:ext cx="11408935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Escritório</a:t>
          </a:r>
          <a:r>
            <a:rPr lang="pt-BR" sz="36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Regional de Ubatuba (Arquitetura)</a:t>
          </a:r>
          <a:endParaRPr lang="pt-BR" sz="36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185198</xdr:rowOff>
    </xdr:from>
    <xdr:to>
      <xdr:col>2</xdr:col>
      <xdr:colOff>1028700</xdr:colOff>
      <xdr:row>4</xdr:row>
      <xdr:rowOff>175673</xdr:rowOff>
    </xdr:to>
    <xdr:pic>
      <xdr:nvPicPr>
        <xdr:cNvPr id="4" name="Imagem 5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85198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190501</xdr:colOff>
      <xdr:row>0</xdr:row>
      <xdr:rowOff>161925</xdr:rowOff>
    </xdr:from>
    <xdr:ext cx="10010774" cy="655885"/>
    <xdr:sp macro="" textlink="">
      <xdr:nvSpPr>
        <xdr:cNvPr id="5" name="Retângulo 4"/>
        <xdr:cNvSpPr/>
      </xdr:nvSpPr>
      <xdr:spPr>
        <a:xfrm>
          <a:off x="1676401" y="161925"/>
          <a:ext cx="10010774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Escritório</a:t>
          </a:r>
          <a:r>
            <a:rPr lang="pt-BR" sz="36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regional de Ubatuba (Inst. Elétricas)</a:t>
          </a:r>
          <a:endParaRPr lang="pt-BR" sz="36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4223</xdr:rowOff>
    </xdr:from>
    <xdr:to>
      <xdr:col>2</xdr:col>
      <xdr:colOff>1025525</xdr:colOff>
      <xdr:row>4</xdr:row>
      <xdr:rowOff>185198</xdr:rowOff>
    </xdr:to>
    <xdr:pic>
      <xdr:nvPicPr>
        <xdr:cNvPr id="2" name="Imagem 5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94723"/>
          <a:ext cx="1504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190500</xdr:colOff>
      <xdr:row>0</xdr:row>
      <xdr:rowOff>139700</xdr:rowOff>
    </xdr:from>
    <xdr:ext cx="9816077" cy="593304"/>
    <xdr:sp macro="" textlink="">
      <xdr:nvSpPr>
        <xdr:cNvPr id="3" name="Retângulo 2"/>
        <xdr:cNvSpPr/>
      </xdr:nvSpPr>
      <xdr:spPr>
        <a:xfrm>
          <a:off x="1676400" y="139700"/>
          <a:ext cx="9816077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Escritório Regional de </a:t>
          </a:r>
          <a:r>
            <a:rPr lang="pt-BR" sz="32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Ubatuba (Rede de Dados e Telef.)</a:t>
          </a:r>
          <a:endParaRPr lang="pt-BR" sz="32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166148</xdr:rowOff>
    </xdr:from>
    <xdr:to>
      <xdr:col>2</xdr:col>
      <xdr:colOff>1028700</xdr:colOff>
      <xdr:row>4</xdr:row>
      <xdr:rowOff>166148</xdr:rowOff>
    </xdr:to>
    <xdr:pic>
      <xdr:nvPicPr>
        <xdr:cNvPr id="2" name="Imagem 5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66148"/>
          <a:ext cx="1504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171450</xdr:colOff>
      <xdr:row>0</xdr:row>
      <xdr:rowOff>171450</xdr:rowOff>
    </xdr:from>
    <xdr:ext cx="11408935" cy="655885"/>
    <xdr:sp macro="" textlink="">
      <xdr:nvSpPr>
        <xdr:cNvPr id="3" name="Retângulo 2"/>
        <xdr:cNvSpPr/>
      </xdr:nvSpPr>
      <xdr:spPr>
        <a:xfrm>
          <a:off x="1657350" y="171450"/>
          <a:ext cx="11408935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Escritório</a:t>
          </a:r>
          <a:r>
            <a:rPr lang="pt-BR" sz="36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Regional de Ubatuba (Hidráulica)</a:t>
          </a:r>
          <a:endParaRPr lang="pt-BR" sz="36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166148</xdr:rowOff>
    </xdr:from>
    <xdr:to>
      <xdr:col>2</xdr:col>
      <xdr:colOff>1028700</xdr:colOff>
      <xdr:row>4</xdr:row>
      <xdr:rowOff>166148</xdr:rowOff>
    </xdr:to>
    <xdr:pic>
      <xdr:nvPicPr>
        <xdr:cNvPr id="2" name="Imagem 5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66148"/>
          <a:ext cx="1504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171450</xdr:colOff>
      <xdr:row>0</xdr:row>
      <xdr:rowOff>171450</xdr:rowOff>
    </xdr:from>
    <xdr:ext cx="11408935" cy="655885"/>
    <xdr:sp macro="" textlink="">
      <xdr:nvSpPr>
        <xdr:cNvPr id="3" name="Retângulo 2"/>
        <xdr:cNvSpPr/>
      </xdr:nvSpPr>
      <xdr:spPr>
        <a:xfrm>
          <a:off x="2152650" y="171450"/>
          <a:ext cx="11408935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Escritório</a:t>
          </a:r>
          <a:r>
            <a:rPr lang="pt-BR" sz="36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Regional de Ubatuba (Climatização)</a:t>
          </a:r>
          <a:endParaRPr lang="pt-BR" sz="36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accent3">
                <a:lumMod val="50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rmuratore/Meus%20documentos/ze%20roberto/PECarlosBotelho/SP%20139/sanit&#225;rio/planilhas/caragua/nucleolazer/playgroun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O64"/>
  <sheetViews>
    <sheetView showGridLines="0" topLeftCell="A37" zoomScaleNormal="100" workbookViewId="0">
      <selection activeCell="E50" sqref="E50"/>
    </sheetView>
  </sheetViews>
  <sheetFormatPr defaultRowHeight="12.75"/>
  <cols>
    <col min="1" max="1" width="3.7109375" style="1" customWidth="1"/>
    <col min="2" max="2" width="7" style="1" customWidth="1"/>
    <col min="3" max="3" width="45.5703125" style="1" customWidth="1"/>
    <col min="4" max="6" width="17.140625" style="1" customWidth="1"/>
    <col min="7" max="7" width="19.5703125" style="6" customWidth="1"/>
    <col min="8" max="8" width="12.5703125" style="1" bestFit="1" customWidth="1"/>
    <col min="9" max="9" width="3.5703125" style="1" customWidth="1"/>
    <col min="10" max="10" width="22.140625" style="1" customWidth="1"/>
    <col min="11" max="11" width="15.140625" style="1" bestFit="1" customWidth="1"/>
    <col min="12" max="12" width="16.28515625" style="1" bestFit="1" customWidth="1"/>
    <col min="13" max="14" width="9.140625" style="1"/>
    <col min="15" max="15" width="15.140625" style="1" bestFit="1" customWidth="1"/>
    <col min="16" max="16384" width="9.140625" style="1"/>
  </cols>
  <sheetData>
    <row r="5" spans="2:15" ht="8.25" customHeight="1"/>
    <row r="6" spans="2:15">
      <c r="B6" s="240" t="s">
        <v>2</v>
      </c>
      <c r="C6" s="242" t="s">
        <v>76</v>
      </c>
      <c r="D6" s="9"/>
      <c r="E6" s="252" t="s">
        <v>80</v>
      </c>
      <c r="F6" s="253"/>
      <c r="G6" s="244" t="s">
        <v>81</v>
      </c>
      <c r="H6" s="245"/>
    </row>
    <row r="7" spans="2:15">
      <c r="B7" s="241"/>
      <c r="C7" s="243"/>
      <c r="D7" s="8" t="s">
        <v>14</v>
      </c>
      <c r="E7" s="8" t="s">
        <v>15</v>
      </c>
      <c r="F7" s="8" t="s">
        <v>16</v>
      </c>
      <c r="G7" s="2" t="s">
        <v>12</v>
      </c>
      <c r="H7" s="3" t="s">
        <v>13</v>
      </c>
    </row>
    <row r="8" spans="2:15">
      <c r="B8" s="56">
        <v>1</v>
      </c>
      <c r="C8" s="57" t="s">
        <v>242</v>
      </c>
      <c r="D8" s="71"/>
      <c r="E8" s="72"/>
      <c r="F8" s="72"/>
      <c r="G8" s="192"/>
      <c r="H8" s="194" t="e">
        <f t="shared" ref="H8:H13" si="0">G8/G$54</f>
        <v>#DIV/0!</v>
      </c>
    </row>
    <row r="9" spans="2:15">
      <c r="B9" s="65" t="s">
        <v>19</v>
      </c>
      <c r="C9" s="61" t="str">
        <f>'Serviços Gerais'!C8:D8</f>
        <v>Serviços Iniciais</v>
      </c>
      <c r="D9" s="82"/>
      <c r="E9" s="82"/>
      <c r="F9" s="164"/>
      <c r="G9" s="76"/>
      <c r="H9" s="193" t="e">
        <f t="shared" si="0"/>
        <v>#DIV/0!</v>
      </c>
    </row>
    <row r="10" spans="2:15">
      <c r="B10" s="65" t="s">
        <v>31</v>
      </c>
      <c r="C10" s="61" t="str">
        <f>'Serviços Gerais'!C13:D13</f>
        <v>Projetos</v>
      </c>
      <c r="D10" s="82">
        <f>G10*0.8</f>
        <v>0</v>
      </c>
      <c r="E10" s="164"/>
      <c r="F10" s="82">
        <f>G10-D10</f>
        <v>0</v>
      </c>
      <c r="G10" s="76"/>
      <c r="H10" s="193" t="e">
        <f t="shared" si="0"/>
        <v>#DIV/0!</v>
      </c>
    </row>
    <row r="11" spans="2:15">
      <c r="B11" s="65" t="s">
        <v>32</v>
      </c>
      <c r="C11" s="61" t="str">
        <f>'Serviços Gerais'!C21:D21</f>
        <v>Entulho</v>
      </c>
      <c r="D11" s="82"/>
      <c r="E11" s="82">
        <f>G11-D11</f>
        <v>0</v>
      </c>
      <c r="F11" s="164"/>
      <c r="G11" s="77"/>
      <c r="H11" s="193" t="e">
        <f t="shared" si="0"/>
        <v>#DIV/0!</v>
      </c>
    </row>
    <row r="12" spans="2:15">
      <c r="B12" s="66" t="s">
        <v>45</v>
      </c>
      <c r="C12" s="63" t="str">
        <f>'Serviços Gerais'!C25</f>
        <v>Jardins</v>
      </c>
      <c r="D12" s="75"/>
      <c r="E12" s="165"/>
      <c r="F12" s="90">
        <f>G12</f>
        <v>0</v>
      </c>
      <c r="G12" s="76"/>
      <c r="H12" s="193" t="e">
        <f t="shared" si="0"/>
        <v>#DIV/0!</v>
      </c>
    </row>
    <row r="13" spans="2:15">
      <c r="B13" s="56">
        <v>2</v>
      </c>
      <c r="C13" s="57" t="s">
        <v>77</v>
      </c>
      <c r="D13" s="166"/>
      <c r="E13" s="167"/>
      <c r="F13" s="167"/>
      <c r="G13" s="192"/>
      <c r="H13" s="194" t="e">
        <f t="shared" si="0"/>
        <v>#DIV/0!</v>
      </c>
      <c r="L13" s="6"/>
      <c r="O13" s="6"/>
    </row>
    <row r="14" spans="2:15">
      <c r="B14" s="65" t="s">
        <v>21</v>
      </c>
      <c r="C14" s="61" t="s">
        <v>82</v>
      </c>
      <c r="D14" s="82"/>
      <c r="E14" s="69"/>
      <c r="F14" s="69"/>
      <c r="G14" s="76"/>
      <c r="H14" s="193" t="e">
        <f>G14/G$54</f>
        <v>#DIV/0!</v>
      </c>
      <c r="J14" s="95"/>
    </row>
    <row r="15" spans="2:15">
      <c r="B15" s="65" t="s">
        <v>22</v>
      </c>
      <c r="C15" s="61" t="str">
        <f>Arquitetura!C16</f>
        <v>Recomposição de emboço</v>
      </c>
      <c r="D15" s="68"/>
      <c r="E15" s="82">
        <f>G15</f>
        <v>0</v>
      </c>
      <c r="F15" s="69"/>
      <c r="G15" s="76"/>
      <c r="H15" s="193" t="e">
        <f>G15/G$54</f>
        <v>#DIV/0!</v>
      </c>
      <c r="J15" s="95"/>
    </row>
    <row r="16" spans="2:15">
      <c r="B16" s="65" t="s">
        <v>23</v>
      </c>
      <c r="C16" s="61" t="s">
        <v>96</v>
      </c>
      <c r="D16" s="68"/>
      <c r="E16" s="83"/>
      <c r="F16" s="101"/>
      <c r="G16" s="76"/>
      <c r="H16" s="193" t="e">
        <f>G16/G54</f>
        <v>#DIV/0!</v>
      </c>
      <c r="J16" s="95"/>
    </row>
    <row r="17" spans="2:15">
      <c r="B17" s="65" t="s">
        <v>24</v>
      </c>
      <c r="C17" s="61" t="s">
        <v>98</v>
      </c>
      <c r="D17" s="68"/>
      <c r="E17" s="78"/>
      <c r="F17" s="78"/>
      <c r="G17" s="76"/>
      <c r="H17" s="193" t="e">
        <f>G17/G54</f>
        <v>#DIV/0!</v>
      </c>
      <c r="J17" s="95"/>
    </row>
    <row r="18" spans="2:15">
      <c r="B18" s="65" t="s">
        <v>25</v>
      </c>
      <c r="C18" s="61" t="s">
        <v>105</v>
      </c>
      <c r="D18" s="68"/>
      <c r="E18" s="78"/>
      <c r="F18" s="69"/>
      <c r="G18" s="76"/>
      <c r="H18" s="193" t="e">
        <f>G18/G54</f>
        <v>#DIV/0!</v>
      </c>
      <c r="J18" s="95"/>
      <c r="K18" s="95"/>
      <c r="L18" s="95"/>
    </row>
    <row r="19" spans="2:15">
      <c r="B19" s="65" t="s">
        <v>26</v>
      </c>
      <c r="C19" s="61" t="s">
        <v>97</v>
      </c>
      <c r="D19" s="68"/>
      <c r="E19" s="78"/>
      <c r="F19" s="69"/>
      <c r="G19" s="76"/>
      <c r="H19" s="193" t="e">
        <f>G19/G54</f>
        <v>#DIV/0!</v>
      </c>
      <c r="J19" s="95"/>
    </row>
    <row r="20" spans="2:15">
      <c r="B20" s="65" t="s">
        <v>27</v>
      </c>
      <c r="C20" s="61" t="s">
        <v>161</v>
      </c>
      <c r="D20" s="82"/>
      <c r="E20" s="89"/>
      <c r="F20" s="89"/>
      <c r="G20" s="76"/>
      <c r="H20" s="193" t="e">
        <f>G20/G54</f>
        <v>#DIV/0!</v>
      </c>
      <c r="J20" s="95"/>
    </row>
    <row r="21" spans="2:15">
      <c r="B21" s="65" t="s">
        <v>36</v>
      </c>
      <c r="C21" s="61" t="str">
        <f>Arquitetura!C45</f>
        <v>Caixalharia</v>
      </c>
      <c r="D21" s="68"/>
      <c r="E21" s="89"/>
      <c r="F21" s="90"/>
      <c r="G21" s="76"/>
      <c r="H21" s="193" t="e">
        <f>G21/G$54</f>
        <v>#DIV/0!</v>
      </c>
      <c r="J21" s="95"/>
    </row>
    <row r="22" spans="2:15">
      <c r="B22" s="65" t="s">
        <v>37</v>
      </c>
      <c r="C22" s="61" t="str">
        <f>Arquitetura!C49</f>
        <v>Acesso sala reunião</v>
      </c>
      <c r="D22" s="68"/>
      <c r="E22" s="78"/>
      <c r="F22" s="201"/>
      <c r="G22" s="76"/>
      <c r="H22" s="193" t="e">
        <f t="shared" ref="H22:H25" si="1">G22/G$54</f>
        <v>#DIV/0!</v>
      </c>
      <c r="J22" s="95"/>
    </row>
    <row r="23" spans="2:15">
      <c r="B23" s="65" t="s">
        <v>38</v>
      </c>
      <c r="C23" s="61" t="str">
        <f>Arquitetura!C56</f>
        <v>Combate a incêndio</v>
      </c>
      <c r="D23" s="68"/>
      <c r="E23" s="89"/>
      <c r="F23" s="90"/>
      <c r="G23" s="76"/>
      <c r="H23" s="193" t="e">
        <f t="shared" si="1"/>
        <v>#DIV/0!</v>
      </c>
      <c r="J23" s="95"/>
    </row>
    <row r="24" spans="2:15">
      <c r="B24" s="65" t="s">
        <v>39</v>
      </c>
      <c r="C24" s="61" t="str">
        <f>Arquitetura!C61</f>
        <v>Gradil</v>
      </c>
      <c r="D24" s="68"/>
      <c r="E24" s="78">
        <f>G24</f>
        <v>0</v>
      </c>
      <c r="F24" s="69"/>
      <c r="G24" s="76"/>
      <c r="H24" s="193" t="e">
        <f t="shared" si="1"/>
        <v>#DIV/0!</v>
      </c>
      <c r="J24" s="95"/>
    </row>
    <row r="25" spans="2:15">
      <c r="B25" s="65" t="s">
        <v>48</v>
      </c>
      <c r="C25" s="62" t="s">
        <v>102</v>
      </c>
      <c r="D25" s="88"/>
      <c r="E25" s="70"/>
      <c r="F25" s="90"/>
      <c r="G25" s="76"/>
      <c r="H25" s="193" t="e">
        <f t="shared" si="1"/>
        <v>#DIV/0!</v>
      </c>
      <c r="J25" s="95"/>
    </row>
    <row r="26" spans="2:15">
      <c r="B26" s="56">
        <v>3</v>
      </c>
      <c r="C26" s="57" t="s">
        <v>78</v>
      </c>
      <c r="D26" s="71"/>
      <c r="E26" s="72"/>
      <c r="F26" s="72"/>
      <c r="G26" s="192"/>
      <c r="H26" s="194" t="e">
        <f>G26/G$54</f>
        <v>#DIV/0!</v>
      </c>
      <c r="J26" s="95"/>
      <c r="L26" s="6"/>
      <c r="O26" s="95"/>
    </row>
    <row r="27" spans="2:15">
      <c r="B27" s="65" t="s">
        <v>28</v>
      </c>
      <c r="C27" s="61" t="str">
        <f>'Instalações Elétricas'!C8:D8</f>
        <v>Remoções</v>
      </c>
      <c r="D27" s="68"/>
      <c r="E27" s="78"/>
      <c r="F27" s="69"/>
      <c r="G27" s="76"/>
      <c r="H27" s="193" t="e">
        <f t="shared" ref="H27:H28" si="2">G27/G$54</f>
        <v>#DIV/0!</v>
      </c>
      <c r="J27" s="95"/>
      <c r="L27" s="6"/>
      <c r="O27" s="95"/>
    </row>
    <row r="28" spans="2:15">
      <c r="B28" s="65" t="s">
        <v>29</v>
      </c>
      <c r="C28" s="61" t="str">
        <f>'Instalações Elétricas'!C15:D15</f>
        <v>Caixas e Eletrodutos</v>
      </c>
      <c r="D28" s="68"/>
      <c r="E28" s="78"/>
      <c r="F28" s="69"/>
      <c r="G28" s="76"/>
      <c r="H28" s="193" t="e">
        <f t="shared" si="2"/>
        <v>#DIV/0!</v>
      </c>
      <c r="J28" s="95"/>
    </row>
    <row r="29" spans="2:15">
      <c r="B29" s="65" t="s">
        <v>30</v>
      </c>
      <c r="C29" s="61" t="str">
        <f>'Instalações Elétricas'!C30:D30</f>
        <v>Fiação, Interruptores e Tomadas</v>
      </c>
      <c r="D29" s="68"/>
      <c r="E29" s="78"/>
      <c r="F29" s="78">
        <f>G29-E29</f>
        <v>0</v>
      </c>
      <c r="G29" s="76"/>
      <c r="H29" s="193" t="e">
        <f>G29/G$54</f>
        <v>#DIV/0!</v>
      </c>
      <c r="J29" s="95"/>
    </row>
    <row r="30" spans="2:15">
      <c r="B30" s="65" t="s">
        <v>42</v>
      </c>
      <c r="C30" s="61" t="str">
        <f>'Instalações Elétricas'!C50:D50</f>
        <v>Luminárias</v>
      </c>
      <c r="D30" s="68"/>
      <c r="E30" s="69"/>
      <c r="F30" s="78">
        <f>G30</f>
        <v>0</v>
      </c>
      <c r="G30" s="77"/>
      <c r="H30" s="193" t="e">
        <f>G30/G54</f>
        <v>#DIV/0!</v>
      </c>
      <c r="J30" s="95"/>
    </row>
    <row r="31" spans="2:15">
      <c r="B31" s="65" t="s">
        <v>43</v>
      </c>
      <c r="C31" s="109" t="str">
        <f>'Instalações Elétricas'!C61:D61</f>
        <v>Aterramento e SPDA</v>
      </c>
      <c r="D31" s="68"/>
      <c r="E31" s="78">
        <f>G31</f>
        <v>0</v>
      </c>
      <c r="F31" s="69"/>
      <c r="G31" s="77"/>
      <c r="H31" s="193" t="e">
        <f>G31/G56</f>
        <v>#DIV/0!</v>
      </c>
      <c r="J31" s="95"/>
    </row>
    <row r="32" spans="2:15">
      <c r="B32" s="65" t="s">
        <v>199</v>
      </c>
      <c r="C32" s="109" t="str">
        <f>'Instalações Elétricas'!C80:D80</f>
        <v>Padrão de entrada</v>
      </c>
      <c r="D32" s="82"/>
      <c r="E32" s="78"/>
      <c r="F32" s="69"/>
      <c r="G32" s="76"/>
      <c r="H32" s="193" t="e">
        <f>G32/G54</f>
        <v>#DIV/0!</v>
      </c>
      <c r="J32" s="95"/>
    </row>
    <row r="33" spans="2:15">
      <c r="B33" s="58">
        <v>4</v>
      </c>
      <c r="C33" s="59" t="s">
        <v>79</v>
      </c>
      <c r="D33" s="73"/>
      <c r="E33" s="74"/>
      <c r="F33" s="74"/>
      <c r="G33" s="192"/>
      <c r="H33" s="194" t="e">
        <f>G33/G$54</f>
        <v>#DIV/0!</v>
      </c>
      <c r="J33" s="95"/>
      <c r="L33" s="6"/>
      <c r="O33" s="95"/>
    </row>
    <row r="34" spans="2:15">
      <c r="B34" s="65" t="s">
        <v>67</v>
      </c>
      <c r="C34" s="61" t="str">
        <f>'Rede de Dados e Telefonia'!C8:D8</f>
        <v>Remoção do sistema anterior</v>
      </c>
      <c r="D34" s="68"/>
      <c r="E34" s="78"/>
      <c r="F34" s="69"/>
      <c r="G34" s="76"/>
      <c r="H34" s="193" t="e">
        <f>G34/G54</f>
        <v>#DIV/0!</v>
      </c>
      <c r="J34" s="95"/>
      <c r="L34" s="6"/>
      <c r="O34" s="95"/>
    </row>
    <row r="35" spans="2:15">
      <c r="B35" s="65" t="s">
        <v>68</v>
      </c>
      <c r="C35" s="61" t="str">
        <f>'Rede de Dados e Telefonia'!C15:D15</f>
        <v>Caixas e Eletrodutos</v>
      </c>
      <c r="D35" s="68"/>
      <c r="E35" s="78"/>
      <c r="F35" s="69"/>
      <c r="G35" s="76"/>
      <c r="H35" s="193" t="e">
        <f>G35/G54</f>
        <v>#DIV/0!</v>
      </c>
      <c r="J35" s="95"/>
    </row>
    <row r="36" spans="2:15">
      <c r="B36" s="65" t="s">
        <v>107</v>
      </c>
      <c r="C36" s="61" t="str">
        <f>'Rede de Dados e Telefonia'!C25:D25</f>
        <v>Cabos e Conectores</v>
      </c>
      <c r="D36" s="68"/>
      <c r="E36" s="69"/>
      <c r="F36" s="78">
        <f>G36</f>
        <v>0</v>
      </c>
      <c r="G36" s="76"/>
      <c r="H36" s="193" t="e">
        <f>G36/G54</f>
        <v>#DIV/0!</v>
      </c>
      <c r="J36" s="95"/>
      <c r="K36" s="95"/>
    </row>
    <row r="37" spans="2:15">
      <c r="B37" s="65" t="s">
        <v>110</v>
      </c>
      <c r="C37" s="61" t="str">
        <f>'Rede de Dados e Telefonia'!C42:D42</f>
        <v>Central Telefônica</v>
      </c>
      <c r="D37" s="68"/>
      <c r="E37" s="69"/>
      <c r="F37" s="78">
        <f t="shared" ref="F37:F38" si="3">G37</f>
        <v>0</v>
      </c>
      <c r="G37" s="76"/>
      <c r="H37" s="193" t="e">
        <f>G37/G54</f>
        <v>#DIV/0!</v>
      </c>
      <c r="J37" s="95"/>
    </row>
    <row r="38" spans="2:15">
      <c r="B38" s="65" t="s">
        <v>297</v>
      </c>
      <c r="C38" s="63" t="str">
        <f>'Rede de Dados e Telefonia'!C47:D47</f>
        <v>Equipamentos de Rede</v>
      </c>
      <c r="D38" s="75"/>
      <c r="E38" s="69"/>
      <c r="F38" s="78">
        <f t="shared" si="3"/>
        <v>0</v>
      </c>
      <c r="G38" s="76"/>
      <c r="H38" s="193" t="e">
        <f>G38/G54</f>
        <v>#DIV/0!</v>
      </c>
      <c r="J38" s="95"/>
    </row>
    <row r="39" spans="2:15">
      <c r="B39" s="65" t="s">
        <v>392</v>
      </c>
      <c r="C39" s="63" t="str">
        <f>'Rede de Dados e Telefonia'!C53:D53</f>
        <v>Aterramento e outros</v>
      </c>
      <c r="D39" s="75"/>
      <c r="E39" s="78"/>
      <c r="F39" s="201">
        <f>G39-E39</f>
        <v>0</v>
      </c>
      <c r="G39" s="76"/>
      <c r="H39" s="193" t="e">
        <f>G39/G54</f>
        <v>#DIV/0!</v>
      </c>
      <c r="J39" s="95"/>
    </row>
    <row r="40" spans="2:15">
      <c r="B40" s="56">
        <v>5</v>
      </c>
      <c r="C40" s="57" t="s">
        <v>348</v>
      </c>
      <c r="D40" s="71"/>
      <c r="E40" s="72"/>
      <c r="F40" s="72"/>
      <c r="G40" s="192"/>
      <c r="H40" s="194" t="e">
        <f>G40/G$54</f>
        <v>#DIV/0!</v>
      </c>
      <c r="J40" s="95"/>
    </row>
    <row r="41" spans="2:15">
      <c r="B41" s="65" t="s">
        <v>90</v>
      </c>
      <c r="C41" s="61" t="str">
        <f>Hidraulica!C8</f>
        <v>Demolições e retiradas</v>
      </c>
      <c r="D41" s="82"/>
      <c r="E41" s="68"/>
      <c r="F41" s="68"/>
      <c r="G41" s="76"/>
      <c r="H41" s="193" t="e">
        <f>G41/G$54</f>
        <v>#DIV/0!</v>
      </c>
      <c r="J41" s="95"/>
    </row>
    <row r="42" spans="2:15">
      <c r="B42" s="65" t="s">
        <v>100</v>
      </c>
      <c r="C42" s="61" t="str">
        <f>Hidraulica!C15</f>
        <v>Esgoto</v>
      </c>
      <c r="D42" s="68"/>
      <c r="E42" s="78"/>
      <c r="F42" s="68"/>
      <c r="G42" s="76"/>
      <c r="H42" s="193" t="e">
        <f t="shared" ref="H42:H45" si="4">G42/G$54</f>
        <v>#DIV/0!</v>
      </c>
      <c r="J42" s="95"/>
    </row>
    <row r="43" spans="2:15">
      <c r="B43" s="65" t="s">
        <v>230</v>
      </c>
      <c r="C43" s="61" t="str">
        <f>Hidraulica!C25</f>
        <v>Água fria</v>
      </c>
      <c r="D43" s="82"/>
      <c r="E43" s="68"/>
      <c r="F43" s="68"/>
      <c r="G43" s="77"/>
      <c r="H43" s="193" t="e">
        <f t="shared" si="4"/>
        <v>#DIV/0!</v>
      </c>
      <c r="J43" s="95"/>
    </row>
    <row r="44" spans="2:15">
      <c r="B44" s="65" t="s">
        <v>232</v>
      </c>
      <c r="C44" s="61" t="str">
        <f>Hidraulica!C32</f>
        <v>Aparelhos</v>
      </c>
      <c r="D44" s="68"/>
      <c r="E44" s="78"/>
      <c r="F44" s="68"/>
      <c r="G44" s="77"/>
      <c r="H44" s="193" t="e">
        <f t="shared" ref="H44" si="5">G44/G$54</f>
        <v>#DIV/0!</v>
      </c>
      <c r="J44" s="95"/>
    </row>
    <row r="45" spans="2:15">
      <c r="B45" s="65" t="s">
        <v>294</v>
      </c>
      <c r="C45" s="61" t="str">
        <f>Hidraulica!C37</f>
        <v>Acessorios, metais e acabamentos</v>
      </c>
      <c r="D45" s="68"/>
      <c r="E45" s="68"/>
      <c r="F45" s="201"/>
      <c r="G45" s="76"/>
      <c r="H45" s="193" t="e">
        <f t="shared" si="4"/>
        <v>#DIV/0!</v>
      </c>
    </row>
    <row r="46" spans="2:15">
      <c r="B46" s="56">
        <v>6</v>
      </c>
      <c r="C46" s="57" t="s">
        <v>360</v>
      </c>
      <c r="D46" s="71"/>
      <c r="E46" s="72"/>
      <c r="F46" s="72"/>
      <c r="G46" s="192"/>
      <c r="H46" s="194" t="e">
        <f>G46/G$54</f>
        <v>#DIV/0!</v>
      </c>
    </row>
    <row r="47" spans="2:15">
      <c r="B47" s="65" t="s">
        <v>361</v>
      </c>
      <c r="C47" s="61" t="str">
        <f>Climatização!C8</f>
        <v>Remoção de Ar Condicionado</v>
      </c>
      <c r="D47" s="82">
        <f>G47</f>
        <v>0</v>
      </c>
      <c r="E47" s="68"/>
      <c r="F47" s="68"/>
      <c r="G47" s="76"/>
      <c r="H47" s="193" t="e">
        <f>G47/G$54</f>
        <v>#DIV/0!</v>
      </c>
    </row>
    <row r="48" spans="2:15">
      <c r="B48" s="65" t="s">
        <v>361</v>
      </c>
      <c r="C48" s="61" t="str">
        <f>Climatização!C12</f>
        <v>Dreno - reparo</v>
      </c>
      <c r="D48" s="68"/>
      <c r="E48" s="78">
        <f>G48</f>
        <v>0</v>
      </c>
      <c r="F48" s="68"/>
      <c r="G48" s="76"/>
      <c r="H48" s="193" t="e">
        <f>G48/G$54</f>
        <v>#DIV/0!</v>
      </c>
    </row>
    <row r="49" spans="2:12">
      <c r="B49" s="65" t="s">
        <v>400</v>
      </c>
      <c r="C49" s="61" t="str">
        <f>Climatização!C17</f>
        <v>Ar Condicionado - manutenção dos existentes</v>
      </c>
      <c r="D49" s="68"/>
      <c r="E49" s="68"/>
      <c r="F49" s="201">
        <f>G49-E49</f>
        <v>0</v>
      </c>
      <c r="G49" s="76"/>
      <c r="H49" s="193" t="e">
        <f t="shared" ref="H49:H50" si="6">G49/G$54</f>
        <v>#DIV/0!</v>
      </c>
    </row>
    <row r="50" spans="2:12">
      <c r="B50" s="65" t="s">
        <v>401</v>
      </c>
      <c r="C50" s="226" t="str">
        <f>Climatização!C21</f>
        <v>Ar Condicionado - novos equipamentos</v>
      </c>
      <c r="D50" s="68"/>
      <c r="E50" s="78"/>
      <c r="F50" s="201">
        <f>G50-E50</f>
        <v>0</v>
      </c>
      <c r="G50" s="76"/>
      <c r="H50" s="193" t="e">
        <f t="shared" si="6"/>
        <v>#DIV/0!</v>
      </c>
    </row>
    <row r="51" spans="2:12">
      <c r="B51" s="65"/>
      <c r="C51" s="209"/>
      <c r="D51" s="68"/>
      <c r="E51" s="68"/>
      <c r="F51" s="68"/>
      <c r="G51" s="210"/>
      <c r="H51" s="211"/>
    </row>
    <row r="52" spans="2:12">
      <c r="B52" s="64"/>
      <c r="C52" s="60" t="s">
        <v>17</v>
      </c>
      <c r="D52" s="67">
        <f>SUM(D9:D51)</f>
        <v>0</v>
      </c>
      <c r="E52" s="67">
        <f t="shared" ref="E52:F52" si="7">SUM(E9:E51)</f>
        <v>0</v>
      </c>
      <c r="F52" s="67">
        <f t="shared" si="7"/>
        <v>0</v>
      </c>
      <c r="G52" s="254"/>
      <c r="H52" s="255"/>
      <c r="L52" s="96"/>
    </row>
    <row r="53" spans="2:12">
      <c r="B53" s="55"/>
      <c r="C53" s="258"/>
      <c r="D53" s="258"/>
      <c r="E53" s="258"/>
      <c r="F53" s="258"/>
      <c r="G53" s="258"/>
      <c r="H53" s="259"/>
    </row>
    <row r="54" spans="2:12">
      <c r="C54" s="53"/>
      <c r="D54" s="53"/>
      <c r="E54" s="246" t="s">
        <v>6</v>
      </c>
      <c r="F54" s="247"/>
      <c r="G54" s="54">
        <f>G8+G13+G26+G33+G40+G46</f>
        <v>0</v>
      </c>
      <c r="H54" s="256" t="e">
        <f>H8+H13+H26+H33+H40+H46</f>
        <v>#DIV/0!</v>
      </c>
      <c r="L54" s="6"/>
    </row>
    <row r="55" spans="2:12">
      <c r="C55" s="53"/>
      <c r="D55" s="53"/>
      <c r="E55" s="248" t="str">
        <f>CONCATENATE("Adm Local (",'calculo BDI'!C36*100,"%)")</f>
        <v>Adm Local (3,49%)</v>
      </c>
      <c r="F55" s="249"/>
      <c r="G55" s="54">
        <f>G54*'calculo BDI'!C36</f>
        <v>0</v>
      </c>
      <c r="H55" s="256"/>
      <c r="L55" s="6"/>
    </row>
    <row r="56" spans="2:12">
      <c r="C56" s="7"/>
      <c r="D56" s="7"/>
      <c r="E56" s="248" t="str">
        <f>CONCATENATE("BDI (",I56*100,"%)")</f>
        <v>BDI (19,5%)</v>
      </c>
      <c r="F56" s="249"/>
      <c r="G56" s="4">
        <f>(G54+G55)*'calculo BDI'!C26</f>
        <v>0</v>
      </c>
      <c r="H56" s="256"/>
      <c r="I56" s="162">
        <f>'calculo BDI'!C26</f>
        <v>0.19499999999999998</v>
      </c>
    </row>
    <row r="57" spans="2:12">
      <c r="C57" s="7"/>
      <c r="D57" s="7"/>
      <c r="E57" s="250" t="s">
        <v>7</v>
      </c>
      <c r="F57" s="251"/>
      <c r="G57" s="5">
        <f>SUM(G54:G56)</f>
        <v>0</v>
      </c>
      <c r="H57" s="257"/>
    </row>
    <row r="60" spans="2:12">
      <c r="B60" s="99"/>
      <c r="C60" s="99"/>
      <c r="D60" s="99"/>
      <c r="E60" s="99"/>
      <c r="F60" s="99"/>
      <c r="G60" s="100"/>
      <c r="H60" s="99"/>
      <c r="I60" s="99"/>
      <c r="J60" s="99"/>
      <c r="K60" s="99"/>
    </row>
    <row r="61" spans="2:12">
      <c r="B61" s="99"/>
      <c r="C61" s="99"/>
      <c r="D61" s="99"/>
      <c r="E61" s="99"/>
      <c r="F61" s="99"/>
      <c r="G61" s="100"/>
      <c r="H61" s="99"/>
      <c r="I61" s="99"/>
      <c r="J61" s="99"/>
      <c r="K61" s="99"/>
    </row>
    <row r="62" spans="2:12">
      <c r="B62" s="99"/>
      <c r="C62" s="99"/>
      <c r="D62" s="99"/>
      <c r="E62" s="99"/>
      <c r="F62" s="99"/>
      <c r="G62" s="100"/>
      <c r="H62" s="99"/>
      <c r="I62" s="99"/>
      <c r="J62" s="99"/>
      <c r="K62" s="99"/>
    </row>
    <row r="63" spans="2:12">
      <c r="B63" s="99"/>
      <c r="C63" s="99"/>
      <c r="D63" s="99"/>
      <c r="E63" s="99"/>
      <c r="F63" s="99"/>
      <c r="G63" s="100"/>
      <c r="H63" s="99"/>
      <c r="I63" s="99"/>
      <c r="J63" s="99"/>
      <c r="K63" s="99"/>
    </row>
    <row r="64" spans="2:12">
      <c r="B64" s="99"/>
      <c r="C64" s="99"/>
      <c r="D64" s="99"/>
      <c r="E64" s="99"/>
      <c r="F64" s="99"/>
      <c r="G64" s="100"/>
      <c r="H64" s="99"/>
      <c r="I64" s="99"/>
      <c r="J64" s="99" t="s">
        <v>0</v>
      </c>
    </row>
  </sheetData>
  <mergeCells count="11">
    <mergeCell ref="E57:F57"/>
    <mergeCell ref="E6:F6"/>
    <mergeCell ref="G52:H52"/>
    <mergeCell ref="H54:H57"/>
    <mergeCell ref="C53:H53"/>
    <mergeCell ref="E55:F55"/>
    <mergeCell ref="B6:B7"/>
    <mergeCell ref="C6:C7"/>
    <mergeCell ref="G6:H6"/>
    <mergeCell ref="E54:F54"/>
    <mergeCell ref="E56:F56"/>
  </mergeCells>
  <printOptions horizontalCentered="1"/>
  <pageMargins left="0.51181102362204722" right="0.51181102362204722" top="1.1000000000000001" bottom="1.02" header="0.31496062992125984" footer="0.31496062992125984"/>
  <pageSetup paperSize="9" scale="96" fitToHeight="0" orientation="landscape" r:id="rId1"/>
  <headerFooter>
    <oddHeader>&amp;L&amp;"Ecofont Vera Sans,Regular"&amp;11Secretaria de Infraestrutura e 
Meio Ambiente
FF - Fundação Florestal
SEI - Setor de Engenharia e Infraestrutura&amp;C&amp;"Arial,Negrito"&amp;11Escritório Regional Ubatuba&amp;RPlanilha Orçamentária
CPOS 175 - Março/2019</oddHeader>
    <oddFooter>&amp;L&amp;"Verdana,Negrito"&amp;8Fundação Florestal&amp;"Verdana,Normal" | Av. Prof. Frederico Hermann Jr 345 | CEP 05459-010
São Paulo, SP | Fone (11) 2997-5000 | www.fflorestal.sp.gov.br&amp;"Ecofont Vera Sans,Regular"&amp;11
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zoomScaleNormal="100" workbookViewId="0">
      <selection activeCell="C36" sqref="C36"/>
    </sheetView>
  </sheetViews>
  <sheetFormatPr defaultRowHeight="15"/>
  <cols>
    <col min="1" max="1" width="6.140625" style="161" customWidth="1"/>
    <col min="2" max="2" width="62.7109375" style="146" customWidth="1"/>
    <col min="3" max="3" width="12.140625" style="146" customWidth="1"/>
    <col min="4" max="16384" width="9.140625" style="146"/>
  </cols>
  <sheetData>
    <row r="1" spans="1:5" ht="18.75">
      <c r="A1" s="331" t="s">
        <v>214</v>
      </c>
      <c r="B1" s="331"/>
      <c r="C1" s="331"/>
    </row>
    <row r="2" spans="1:5" ht="30" customHeight="1">
      <c r="A2" s="332" t="s">
        <v>215</v>
      </c>
      <c r="B2" s="332"/>
      <c r="C2" s="332"/>
    </row>
    <row r="3" spans="1:5" ht="5.0999999999999996" customHeight="1">
      <c r="A3" s="147"/>
      <c r="B3" s="147"/>
      <c r="C3" s="147"/>
    </row>
    <row r="4" spans="1:5" ht="15" customHeight="1">
      <c r="A4" s="333" t="s">
        <v>216</v>
      </c>
      <c r="B4" s="333"/>
      <c r="C4" s="148">
        <v>1</v>
      </c>
    </row>
    <row r="5" spans="1:5" ht="15" customHeight="1">
      <c r="A5" s="147"/>
      <c r="B5" s="147"/>
      <c r="C5" s="147"/>
      <c r="D5" s="334"/>
      <c r="E5" s="334"/>
    </row>
    <row r="6" spans="1:5" ht="15" customHeight="1">
      <c r="A6" s="149" t="s">
        <v>2</v>
      </c>
      <c r="B6" s="149" t="s">
        <v>3</v>
      </c>
      <c r="C6" s="149" t="s">
        <v>13</v>
      </c>
    </row>
    <row r="7" spans="1:5">
      <c r="A7" s="150">
        <v>1</v>
      </c>
      <c r="B7" s="151" t="s">
        <v>217</v>
      </c>
      <c r="C7" s="152"/>
    </row>
    <row r="8" spans="1:5">
      <c r="A8" s="153" t="s">
        <v>19</v>
      </c>
      <c r="B8" s="154" t="s">
        <v>218</v>
      </c>
      <c r="C8" s="155">
        <f>IF(C$4=1,6.16/100,IF(C$4=2,7.4/100,IF(C$4=3,8.96/100,"")))</f>
        <v>6.1600000000000002E-2</v>
      </c>
    </row>
    <row r="9" spans="1:5">
      <c r="A9" s="150">
        <v>2</v>
      </c>
      <c r="B9" s="151" t="s">
        <v>219</v>
      </c>
      <c r="C9" s="152"/>
    </row>
    <row r="10" spans="1:5">
      <c r="A10" s="153" t="s">
        <v>21</v>
      </c>
      <c r="B10" s="154" t="s">
        <v>220</v>
      </c>
      <c r="C10" s="155">
        <f>IF(C$4=1,3/100,IF(C$4=2,4/100,IF(C$4=3,5.5/100,"")))</f>
        <v>0.03</v>
      </c>
    </row>
    <row r="11" spans="1:5">
      <c r="A11" s="150">
        <v>3</v>
      </c>
      <c r="B11" s="151" t="s">
        <v>221</v>
      </c>
      <c r="C11" s="152"/>
    </row>
    <row r="12" spans="1:5">
      <c r="A12" s="153" t="s">
        <v>28</v>
      </c>
      <c r="B12" s="154" t="s">
        <v>222</v>
      </c>
      <c r="C12" s="155">
        <f>IF(C$4=1,0.59/100,IF(C$4=2,1.23/100,IF(C$4=3,1.39/100,"")))</f>
        <v>5.8999999999999999E-3</v>
      </c>
    </row>
    <row r="13" spans="1:5">
      <c r="A13" s="150">
        <v>4</v>
      </c>
      <c r="B13" s="151" t="s">
        <v>223</v>
      </c>
      <c r="C13" s="152"/>
    </row>
    <row r="14" spans="1:5">
      <c r="A14" s="153" t="s">
        <v>67</v>
      </c>
      <c r="B14" s="154" t="s">
        <v>224</v>
      </c>
      <c r="C14" s="155">
        <f>IF(C$4=1,0.8/100,IF(C$4=2,0.8/100,IF(C$4=3,1/100,"")))</f>
        <v>8.0000000000000002E-3</v>
      </c>
    </row>
    <row r="15" spans="1:5">
      <c r="A15" s="153" t="s">
        <v>68</v>
      </c>
      <c r="B15" s="154" t="s">
        <v>225</v>
      </c>
      <c r="C15" s="155">
        <f>IF(C$4=1,0.97/100,IF(C$4=2,1.27/100,IF(C$4=3,1.27/100,"")))</f>
        <v>9.7000000000000003E-3</v>
      </c>
    </row>
    <row r="16" spans="1:5">
      <c r="A16" s="150">
        <v>5</v>
      </c>
      <c r="B16" s="151" t="s">
        <v>226</v>
      </c>
      <c r="C16" s="152"/>
    </row>
    <row r="17" spans="1:5">
      <c r="A17" s="153" t="s">
        <v>90</v>
      </c>
      <c r="B17" s="154" t="s">
        <v>227</v>
      </c>
      <c r="C17" s="156">
        <v>0.03</v>
      </c>
      <c r="E17" s="146" t="s">
        <v>228</v>
      </c>
    </row>
    <row r="18" spans="1:5">
      <c r="A18" s="153" t="s">
        <v>100</v>
      </c>
      <c r="B18" s="154" t="s">
        <v>229</v>
      </c>
      <c r="C18" s="155">
        <v>6.4999999999999997E-3</v>
      </c>
    </row>
    <row r="19" spans="1:5">
      <c r="A19" s="153" t="s">
        <v>230</v>
      </c>
      <c r="B19" s="154" t="s">
        <v>231</v>
      </c>
      <c r="C19" s="155">
        <v>0.03</v>
      </c>
    </row>
    <row r="20" spans="1:5">
      <c r="A20" s="153" t="s">
        <v>232</v>
      </c>
      <c r="B20" s="154" t="s">
        <v>233</v>
      </c>
      <c r="C20" s="154"/>
    </row>
    <row r="23" spans="1:5">
      <c r="A23" s="330" t="s">
        <v>234</v>
      </c>
      <c r="B23" s="330"/>
      <c r="C23" s="330"/>
    </row>
    <row r="24" spans="1:5">
      <c r="A24" s="330" t="s">
        <v>235</v>
      </c>
      <c r="B24" s="330"/>
      <c r="C24" s="330"/>
    </row>
    <row r="26" spans="1:5" ht="18.75">
      <c r="A26" s="335" t="s">
        <v>236</v>
      </c>
      <c r="B26" s="336"/>
      <c r="C26" s="157">
        <f>ROUNDUP((((1+(C10+SUM(C14:C15)))*(1+C12)+(1*C8))/(1-SUM(C17:C20)))-1,4)</f>
        <v>0.19499999999999998</v>
      </c>
    </row>
    <row r="31" spans="1:5" ht="15.75">
      <c r="A31" s="337" t="s">
        <v>237</v>
      </c>
      <c r="B31" s="337"/>
      <c r="C31" s="337"/>
    </row>
    <row r="32" spans="1:5" ht="30" customHeight="1">
      <c r="A32" s="332" t="s">
        <v>238</v>
      </c>
      <c r="B32" s="332"/>
      <c r="C32" s="332"/>
    </row>
    <row r="33" spans="1:3">
      <c r="A33" s="158"/>
      <c r="B33" s="158"/>
    </row>
    <row r="34" spans="1:3">
      <c r="A34" s="330" t="s">
        <v>239</v>
      </c>
      <c r="B34" s="330"/>
      <c r="C34" s="159">
        <v>1</v>
      </c>
    </row>
    <row r="36" spans="1:3" ht="18.75">
      <c r="A36" s="338" t="s">
        <v>240</v>
      </c>
      <c r="B36" s="339"/>
      <c r="C36" s="160">
        <f>IF(C34&lt;&gt;"",IF(C34=1,3.49,(IF(C34=2,6.23,IF(C34=3,8.87,""))))/100,"")</f>
        <v>3.49E-2</v>
      </c>
    </row>
  </sheetData>
  <mergeCells count="11">
    <mergeCell ref="A26:B26"/>
    <mergeCell ref="A31:C31"/>
    <mergeCell ref="A32:C32"/>
    <mergeCell ref="A34:B34"/>
    <mergeCell ref="A36:B36"/>
    <mergeCell ref="A24:C24"/>
    <mergeCell ref="A1:C1"/>
    <mergeCell ref="A2:C2"/>
    <mergeCell ref="A4:B4"/>
    <mergeCell ref="D5:E5"/>
    <mergeCell ref="A23:C23"/>
  </mergeCells>
  <dataValidations count="1">
    <dataValidation type="list" allowBlank="1" showInputMessage="1" showErrorMessage="1" sqref="C4 C34">
      <formula1>"1,2,3"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&amp;L&amp;"Verdana,Negrito"&amp;8Fundação Florestal&amp;"Verdana,Normal" | Av. Prof. Frederico Hermann Jr 345 | CEP 05459-010
São Paulo, SP | Fone (11) 2997-5000 | www.fflorestal.sp.gov.br&amp;R&amp;G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6" zoomScaleNormal="100" workbookViewId="0">
      <selection activeCell="C12" sqref="C12"/>
    </sheetView>
  </sheetViews>
  <sheetFormatPr defaultRowHeight="15"/>
  <cols>
    <col min="1" max="1" width="2" style="168" customWidth="1"/>
    <col min="2" max="2" width="59.42578125" style="168" customWidth="1"/>
    <col min="3" max="3" width="22.28515625" style="168" customWidth="1"/>
    <col min="4" max="16384" width="9.140625" style="171"/>
  </cols>
  <sheetData>
    <row r="1" spans="1:3">
      <c r="B1" s="169"/>
      <c r="C1" s="170"/>
    </row>
    <row r="2" spans="1:3">
      <c r="B2" s="172"/>
      <c r="C2" s="173"/>
    </row>
    <row r="3" spans="1:3">
      <c r="B3" s="172"/>
      <c r="C3" s="173"/>
    </row>
    <row r="4" spans="1:3">
      <c r="B4" s="172"/>
      <c r="C4" s="173"/>
    </row>
    <row r="5" spans="1:3">
      <c r="A5" s="174"/>
      <c r="B5" s="175"/>
      <c r="C5" s="176"/>
    </row>
    <row r="6" spans="1:3">
      <c r="A6" s="174"/>
      <c r="B6" s="177" t="s">
        <v>274</v>
      </c>
      <c r="C6" s="178" t="s">
        <v>275</v>
      </c>
    </row>
    <row r="7" spans="1:3">
      <c r="A7" s="179"/>
      <c r="B7" s="180" t="s">
        <v>242</v>
      </c>
      <c r="C7" s="181"/>
    </row>
    <row r="8" spans="1:3">
      <c r="A8" s="179"/>
      <c r="B8" s="180" t="s">
        <v>77</v>
      </c>
      <c r="C8" s="181"/>
    </row>
    <row r="9" spans="1:3">
      <c r="A9" s="179"/>
      <c r="B9" s="180" t="s">
        <v>276</v>
      </c>
      <c r="C9" s="181"/>
    </row>
    <row r="10" spans="1:3">
      <c r="A10" s="179"/>
      <c r="B10" s="180" t="s">
        <v>277</v>
      </c>
      <c r="C10" s="181"/>
    </row>
    <row r="11" spans="1:3">
      <c r="A11" s="179"/>
      <c r="B11" s="180" t="s">
        <v>299</v>
      </c>
      <c r="C11" s="181"/>
    </row>
    <row r="12" spans="1:3">
      <c r="A12" s="179"/>
      <c r="B12" s="180" t="s">
        <v>360</v>
      </c>
      <c r="C12" s="181"/>
    </row>
    <row r="13" spans="1:3">
      <c r="A13" s="179"/>
      <c r="B13" s="180"/>
      <c r="C13" s="181"/>
    </row>
    <row r="14" spans="1:3">
      <c r="A14" s="179"/>
      <c r="B14" s="180"/>
      <c r="C14" s="181"/>
    </row>
    <row r="15" spans="1:3">
      <c r="A15" s="179"/>
      <c r="B15" s="180"/>
      <c r="C15" s="181"/>
    </row>
    <row r="16" spans="1:3">
      <c r="A16" s="179"/>
      <c r="B16" s="180"/>
      <c r="C16" s="181"/>
    </row>
    <row r="17" spans="1:6">
      <c r="A17" s="179"/>
      <c r="B17" s="180"/>
      <c r="C17" s="181"/>
    </row>
    <row r="18" spans="1:6">
      <c r="A18" s="179"/>
      <c r="B18" s="180"/>
      <c r="C18" s="181"/>
    </row>
    <row r="19" spans="1:6">
      <c r="A19" s="179"/>
      <c r="B19" s="180"/>
      <c r="C19" s="181"/>
    </row>
    <row r="20" spans="1:6">
      <c r="A20" s="179"/>
      <c r="B20" s="180"/>
      <c r="C20" s="181"/>
    </row>
    <row r="21" spans="1:6">
      <c r="A21" s="179"/>
      <c r="B21" s="180"/>
      <c r="C21" s="181"/>
    </row>
    <row r="22" spans="1:6">
      <c r="A22" s="179"/>
      <c r="B22" s="182" t="s">
        <v>6</v>
      </c>
      <c r="C22" s="183">
        <f>SUM(C7:C21)</f>
        <v>0</v>
      </c>
    </row>
    <row r="23" spans="1:6">
      <c r="A23" s="179"/>
      <c r="B23" s="184" t="str">
        <f>CONCATENATE("Administração Local (",'calculo BDI'!C36*100,"%)")</f>
        <v>Administração Local (3,49%)</v>
      </c>
      <c r="C23" s="185">
        <f>C22*'calculo BDI'!C36</f>
        <v>0</v>
      </c>
      <c r="F23" s="186"/>
    </row>
    <row r="24" spans="1:6">
      <c r="A24" s="179"/>
      <c r="B24" s="184" t="str">
        <f>CONCATENATE("Administração Local (",'calculo BDI'!C26*100,"%)")</f>
        <v>Administração Local (19,5%)</v>
      </c>
      <c r="C24" s="185">
        <f>(C23+C22)*'calculo BDI'!C26</f>
        <v>0</v>
      </c>
      <c r="F24" s="186"/>
    </row>
    <row r="25" spans="1:6">
      <c r="A25" s="179"/>
      <c r="B25" s="187" t="s">
        <v>7</v>
      </c>
      <c r="C25" s="188">
        <f>SUM(C22:C24)</f>
        <v>0</v>
      </c>
    </row>
    <row r="26" spans="1:6">
      <c r="A26" s="179"/>
      <c r="B26" s="189"/>
      <c r="C26" s="190"/>
    </row>
    <row r="27" spans="1:6">
      <c r="A27" s="179"/>
      <c r="B27" s="189"/>
      <c r="C27" s="190"/>
    </row>
    <row r="28" spans="1:6">
      <c r="A28" s="179"/>
      <c r="B28" s="189"/>
      <c r="C28" s="190"/>
    </row>
    <row r="29" spans="1:6">
      <c r="A29" s="179"/>
      <c r="B29" s="189"/>
      <c r="C29" s="190"/>
    </row>
    <row r="30" spans="1:6">
      <c r="A30" s="191"/>
      <c r="B30" s="189"/>
      <c r="C30" s="190"/>
    </row>
    <row r="31" spans="1:6">
      <c r="A31" s="189"/>
      <c r="B31" s="189"/>
      <c r="C31" s="190"/>
    </row>
    <row r="32" spans="1:6">
      <c r="A32" s="179"/>
      <c r="B32" s="179"/>
      <c r="C32" s="190"/>
    </row>
    <row r="33" spans="1:3">
      <c r="A33" s="189"/>
      <c r="B33" s="189"/>
      <c r="C33" s="190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&amp;C&amp;"Arial,Negrito"&amp;12Escritorio Regional de Ubatuba - &amp;A&amp;RPlanilha Orçamentária
CPOS 175 - Março/2019</oddHeader>
    <oddFooter>&amp;L&amp;"Verdana,Negrito"&amp;8Fundação Florestal&amp;"Verdana,Normal" | Av. Prof. Frederico Hermann Jr 345 | CEP 05459-010
São Paulo, SP | Fone (11) 2997-5000 | www.fflorestal.sp.gov.br&amp;R&amp;G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L32"/>
  <sheetViews>
    <sheetView showGridLines="0" topLeftCell="A19" zoomScaleNormal="100" workbookViewId="0">
      <selection activeCell="H26" sqref="H26"/>
    </sheetView>
  </sheetViews>
  <sheetFormatPr defaultRowHeight="14.25"/>
  <cols>
    <col min="1" max="1" width="3.5703125" style="14" customWidth="1"/>
    <col min="2" max="2" width="7.42578125" style="23" customWidth="1"/>
    <col min="3" max="3" width="17.5703125" style="23" customWidth="1"/>
    <col min="4" max="4" width="72.7109375" style="24" customWidth="1"/>
    <col min="5" max="5" width="5.7109375" style="23" bestFit="1" customWidth="1"/>
    <col min="6" max="6" width="12.140625" style="25" bestFit="1" customWidth="1"/>
    <col min="7" max="8" width="14" style="25" bestFit="1" customWidth="1"/>
    <col min="9" max="9" width="13.7109375" style="25" bestFit="1" customWidth="1"/>
    <col min="10" max="10" width="17.5703125" style="25" bestFit="1" customWidth="1"/>
    <col min="11" max="11" width="3.5703125" style="14" customWidth="1"/>
    <col min="12" max="12" width="9.7109375" style="14" bestFit="1" customWidth="1"/>
    <col min="13" max="16384" width="9.140625" style="14"/>
  </cols>
  <sheetData>
    <row r="5" spans="2:10" ht="15" thickBot="1"/>
    <row r="6" spans="2:10" s="10" customFormat="1">
      <c r="B6" s="277" t="s">
        <v>2</v>
      </c>
      <c r="C6" s="279" t="s">
        <v>10</v>
      </c>
      <c r="D6" s="281" t="s">
        <v>3</v>
      </c>
      <c r="E6" s="283" t="s">
        <v>4</v>
      </c>
      <c r="F6" s="272" t="s">
        <v>5</v>
      </c>
      <c r="G6" s="270" t="s">
        <v>11</v>
      </c>
      <c r="H6" s="270" t="s">
        <v>8</v>
      </c>
      <c r="I6" s="272" t="s">
        <v>9</v>
      </c>
      <c r="J6" s="274" t="s">
        <v>6</v>
      </c>
    </row>
    <row r="7" spans="2:10" s="11" customFormat="1">
      <c r="B7" s="278"/>
      <c r="C7" s="280"/>
      <c r="D7" s="282"/>
      <c r="E7" s="284"/>
      <c r="F7" s="273"/>
      <c r="G7" s="271"/>
      <c r="H7" s="271"/>
      <c r="I7" s="273"/>
      <c r="J7" s="275"/>
    </row>
    <row r="8" spans="2:10" s="11" customFormat="1" ht="15">
      <c r="B8" s="133">
        <v>1</v>
      </c>
      <c r="C8" s="276" t="s">
        <v>257</v>
      </c>
      <c r="D8" s="276"/>
      <c r="E8" s="12"/>
      <c r="F8" s="13"/>
      <c r="G8" s="13"/>
      <c r="H8" s="13"/>
      <c r="I8" s="13"/>
      <c r="J8" s="119">
        <f>SUM(J9:J11)</f>
        <v>0</v>
      </c>
    </row>
    <row r="9" spans="2:10">
      <c r="B9" s="120" t="s">
        <v>19</v>
      </c>
      <c r="C9" s="111" t="s">
        <v>117</v>
      </c>
      <c r="D9" s="16" t="s">
        <v>18</v>
      </c>
      <c r="E9" s="17" t="s">
        <v>1</v>
      </c>
      <c r="F9" s="110">
        <v>6</v>
      </c>
      <c r="G9" s="116"/>
      <c r="H9" s="116"/>
      <c r="I9" s="19">
        <f>G9+H9</f>
        <v>0</v>
      </c>
      <c r="J9" s="121">
        <f>I9*F9</f>
        <v>0</v>
      </c>
    </row>
    <row r="10" spans="2:10">
      <c r="B10" s="120" t="s">
        <v>31</v>
      </c>
      <c r="C10" s="111" t="s">
        <v>260</v>
      </c>
      <c r="D10" s="16" t="s">
        <v>261</v>
      </c>
      <c r="E10" s="17" t="s">
        <v>1</v>
      </c>
      <c r="F10" s="110">
        <v>160</v>
      </c>
      <c r="G10" s="116"/>
      <c r="H10" s="116"/>
      <c r="I10" s="19">
        <f>G10+H10</f>
        <v>0</v>
      </c>
      <c r="J10" s="121">
        <f>I10*F10</f>
        <v>0</v>
      </c>
    </row>
    <row r="11" spans="2:10">
      <c r="B11" s="120" t="s">
        <v>32</v>
      </c>
      <c r="C11" s="111" t="s">
        <v>258</v>
      </c>
      <c r="D11" s="16" t="s">
        <v>259</v>
      </c>
      <c r="E11" s="17" t="s">
        <v>1</v>
      </c>
      <c r="F11" s="110">
        <v>100</v>
      </c>
      <c r="G11" s="116"/>
      <c r="H11" s="116"/>
      <c r="I11" s="19">
        <f>G11+H11</f>
        <v>0</v>
      </c>
      <c r="J11" s="121">
        <f>I11*F11</f>
        <v>0</v>
      </c>
    </row>
    <row r="12" spans="2:10">
      <c r="B12" s="120"/>
      <c r="C12" s="38"/>
      <c r="D12" s="39"/>
      <c r="E12" s="40"/>
      <c r="F12" s="41"/>
      <c r="G12" s="42"/>
      <c r="H12" s="42"/>
      <c r="I12" s="42"/>
      <c r="J12" s="123"/>
    </row>
    <row r="13" spans="2:10" ht="15">
      <c r="B13" s="126">
        <v>2</v>
      </c>
      <c r="C13" s="260" t="s">
        <v>243</v>
      </c>
      <c r="D13" s="260"/>
      <c r="E13" s="80"/>
      <c r="F13" s="81"/>
      <c r="G13" s="81"/>
      <c r="H13" s="81"/>
      <c r="I13" s="81"/>
      <c r="J13" s="125">
        <f>SUM(J14:J19)</f>
        <v>0</v>
      </c>
    </row>
    <row r="14" spans="2:10">
      <c r="B14" s="120" t="s">
        <v>21</v>
      </c>
      <c r="C14" s="111" t="s">
        <v>244</v>
      </c>
      <c r="D14" s="16" t="s">
        <v>245</v>
      </c>
      <c r="E14" s="17" t="s">
        <v>34</v>
      </c>
      <c r="F14" s="110">
        <v>2</v>
      </c>
      <c r="G14" s="116">
        <v>0</v>
      </c>
      <c r="H14" s="116"/>
      <c r="I14" s="19">
        <f t="shared" ref="I14:I19" si="0">G14+H14</f>
        <v>0</v>
      </c>
      <c r="J14" s="121">
        <f t="shared" ref="J14:J19" si="1">I14*F14</f>
        <v>0</v>
      </c>
    </row>
    <row r="15" spans="2:10">
      <c r="B15" s="120" t="s">
        <v>22</v>
      </c>
      <c r="C15" s="111" t="s">
        <v>246</v>
      </c>
      <c r="D15" s="16" t="s">
        <v>247</v>
      </c>
      <c r="E15" s="17" t="s">
        <v>34</v>
      </c>
      <c r="F15" s="110">
        <v>1</v>
      </c>
      <c r="G15" s="116">
        <v>0</v>
      </c>
      <c r="H15" s="116"/>
      <c r="I15" s="19">
        <f t="shared" si="0"/>
        <v>0</v>
      </c>
      <c r="J15" s="121">
        <f t="shared" si="1"/>
        <v>0</v>
      </c>
    </row>
    <row r="16" spans="2:10" ht="28.5">
      <c r="B16" s="120" t="s">
        <v>23</v>
      </c>
      <c r="C16" s="111" t="s">
        <v>246</v>
      </c>
      <c r="D16" s="16" t="s">
        <v>600</v>
      </c>
      <c r="E16" s="17" t="s">
        <v>34</v>
      </c>
      <c r="F16" s="110">
        <v>1</v>
      </c>
      <c r="G16" s="116">
        <v>0</v>
      </c>
      <c r="H16" s="116"/>
      <c r="I16" s="19">
        <f t="shared" ref="I16" si="2">G16+H16</f>
        <v>0</v>
      </c>
      <c r="J16" s="121">
        <f t="shared" ref="J16" si="3">I16*F16</f>
        <v>0</v>
      </c>
    </row>
    <row r="17" spans="2:12" ht="28.5">
      <c r="B17" s="120" t="s">
        <v>24</v>
      </c>
      <c r="C17" s="111" t="s">
        <v>398</v>
      </c>
      <c r="D17" s="16" t="s">
        <v>399</v>
      </c>
      <c r="E17" s="17" t="s">
        <v>34</v>
      </c>
      <c r="F17" s="110">
        <v>1</v>
      </c>
      <c r="G17" s="116">
        <v>0</v>
      </c>
      <c r="H17" s="116"/>
      <c r="I17" s="19">
        <f t="shared" ref="I17" si="4">G17+H17</f>
        <v>0</v>
      </c>
      <c r="J17" s="121">
        <f t="shared" ref="J17" si="5">I17*F17</f>
        <v>0</v>
      </c>
    </row>
    <row r="18" spans="2:12">
      <c r="B18" s="120" t="s">
        <v>25</v>
      </c>
      <c r="C18" s="111" t="s">
        <v>268</v>
      </c>
      <c r="D18" s="16" t="s">
        <v>269</v>
      </c>
      <c r="E18" s="17" t="s">
        <v>34</v>
      </c>
      <c r="F18" s="110">
        <v>3</v>
      </c>
      <c r="G18" s="116">
        <v>0</v>
      </c>
      <c r="H18" s="116"/>
      <c r="I18" s="19">
        <f t="shared" ref="I18" si="6">G18+H18</f>
        <v>0</v>
      </c>
      <c r="J18" s="121">
        <f t="shared" ref="J18" si="7">I18*F18</f>
        <v>0</v>
      </c>
    </row>
    <row r="19" spans="2:12">
      <c r="B19" s="120" t="s">
        <v>26</v>
      </c>
      <c r="C19" s="111" t="s">
        <v>248</v>
      </c>
      <c r="D19" s="16" t="s">
        <v>249</v>
      </c>
      <c r="E19" s="17" t="s">
        <v>34</v>
      </c>
      <c r="F19" s="110">
        <v>1</v>
      </c>
      <c r="G19" s="116">
        <v>0</v>
      </c>
      <c r="H19" s="116"/>
      <c r="I19" s="19">
        <f t="shared" si="0"/>
        <v>0</v>
      </c>
      <c r="J19" s="121">
        <f t="shared" si="1"/>
        <v>0</v>
      </c>
    </row>
    <row r="20" spans="2:12">
      <c r="B20" s="120"/>
      <c r="C20" s="38"/>
      <c r="D20" s="39"/>
      <c r="E20" s="40"/>
      <c r="F20" s="41"/>
      <c r="G20" s="42"/>
      <c r="H20" s="42"/>
      <c r="I20" s="42"/>
      <c r="J20" s="123"/>
    </row>
    <row r="21" spans="2:12" ht="15">
      <c r="B21" s="126">
        <v>3</v>
      </c>
      <c r="C21" s="260" t="s">
        <v>250</v>
      </c>
      <c r="D21" s="260"/>
      <c r="E21" s="80"/>
      <c r="F21" s="81"/>
      <c r="G21" s="81"/>
      <c r="H21" s="81"/>
      <c r="I21" s="81"/>
      <c r="J21" s="125">
        <f>SUM(J22:J23)</f>
        <v>0</v>
      </c>
    </row>
    <row r="22" spans="2:12" ht="28.5">
      <c r="B22" s="120" t="s">
        <v>28</v>
      </c>
      <c r="C22" s="111" t="s">
        <v>251</v>
      </c>
      <c r="D22" s="16" t="s">
        <v>252</v>
      </c>
      <c r="E22" s="17" t="s">
        <v>253</v>
      </c>
      <c r="F22" s="110">
        <f>ROUNDUP((Arquitetura!F9*0.1+Arquitetura!F10*0.08+Arquitetura!F11*0.02*0.3+Arquitetura!F13*0.027+Arquitetura!F14*0.02+Hidraulica!F11+Hidraulica!F12*0.05+'Instalações Elétricas'!F81*7.5*0.1+Arquitetura!F50+Arquitetura!F62*0.15+(F10+F11)*0.01+'Instalações Elétricas'!F12*0.002+'Rede de Dados e Telefonia'!F10*0.002)*1.35,0)</f>
        <v>53</v>
      </c>
      <c r="G22" s="116"/>
      <c r="H22" s="116"/>
      <c r="I22" s="19">
        <f t="shared" ref="I22:I23" si="8">G22+H22</f>
        <v>0</v>
      </c>
      <c r="J22" s="121">
        <f t="shared" ref="J22:J23" si="9">I22*F22</f>
        <v>0</v>
      </c>
    </row>
    <row r="23" spans="2:12" ht="28.5">
      <c r="B23" s="120" t="s">
        <v>29</v>
      </c>
      <c r="C23" s="111" t="s">
        <v>254</v>
      </c>
      <c r="D23" s="16" t="s">
        <v>255</v>
      </c>
      <c r="E23" s="17" t="s">
        <v>256</v>
      </c>
      <c r="F23" s="110">
        <f>Arquitetura!F12*0.016*1.35</f>
        <v>0.72025200000000122</v>
      </c>
      <c r="G23" s="116"/>
      <c r="H23" s="116"/>
      <c r="I23" s="19">
        <f t="shared" si="8"/>
        <v>0</v>
      </c>
      <c r="J23" s="121">
        <f t="shared" si="9"/>
        <v>0</v>
      </c>
    </row>
    <row r="24" spans="2:12">
      <c r="B24" s="120"/>
      <c r="C24" s="38"/>
      <c r="D24" s="39"/>
      <c r="E24" s="40"/>
      <c r="F24" s="41"/>
      <c r="G24" s="42"/>
      <c r="H24" s="42"/>
      <c r="I24" s="42"/>
      <c r="J24" s="123"/>
    </row>
    <row r="25" spans="2:12" ht="15">
      <c r="B25" s="126">
        <v>4</v>
      </c>
      <c r="C25" s="225" t="s">
        <v>588</v>
      </c>
      <c r="D25" s="225"/>
      <c r="E25" s="80"/>
      <c r="F25" s="81"/>
      <c r="G25" s="81"/>
      <c r="H25" s="81"/>
      <c r="I25" s="81"/>
      <c r="J25" s="125">
        <f>SUM(J26:J27)</f>
        <v>0</v>
      </c>
    </row>
    <row r="26" spans="2:12" ht="30" customHeight="1">
      <c r="B26" s="120" t="s">
        <v>67</v>
      </c>
      <c r="C26" s="111" t="s">
        <v>586</v>
      </c>
      <c r="D26" s="16" t="s">
        <v>587</v>
      </c>
      <c r="E26" s="17" t="s">
        <v>164</v>
      </c>
      <c r="F26" s="110">
        <v>4</v>
      </c>
      <c r="G26" s="116"/>
      <c r="H26" s="116"/>
      <c r="I26" s="19">
        <f t="shared" ref="I26:I27" si="10">G26+H26</f>
        <v>0</v>
      </c>
      <c r="J26" s="121">
        <f t="shared" ref="J26:J27" si="11">I26*F26</f>
        <v>0</v>
      </c>
    </row>
    <row r="27" spans="2:12">
      <c r="B27" s="120"/>
      <c r="C27" s="111"/>
      <c r="D27" s="16"/>
      <c r="E27" s="17"/>
      <c r="F27" s="110"/>
      <c r="G27" s="116"/>
      <c r="H27" s="116"/>
      <c r="I27" s="19">
        <f t="shared" si="10"/>
        <v>0</v>
      </c>
      <c r="J27" s="121">
        <f t="shared" si="11"/>
        <v>0</v>
      </c>
    </row>
    <row r="28" spans="2:12" ht="15" thickBot="1">
      <c r="B28" s="130"/>
      <c r="C28" s="103"/>
      <c r="D28" s="104"/>
      <c r="E28" s="103"/>
      <c r="F28" s="41"/>
      <c r="G28" s="105"/>
      <c r="H28" s="105"/>
      <c r="I28" s="105"/>
      <c r="J28" s="129"/>
    </row>
    <row r="29" spans="2:12" ht="15">
      <c r="B29" s="261" t="s">
        <v>6</v>
      </c>
      <c r="C29" s="262"/>
      <c r="D29" s="262"/>
      <c r="E29" s="262"/>
      <c r="F29" s="262"/>
      <c r="G29" s="262"/>
      <c r="H29" s="262"/>
      <c r="I29" s="263"/>
      <c r="J29" s="137">
        <f>J8+J13+J21+J25</f>
        <v>0</v>
      </c>
      <c r="K29" s="22"/>
    </row>
    <row r="30" spans="2:12" ht="15" customHeight="1">
      <c r="B30" s="264" t="str">
        <f>CONCATENATE("Adm Local (",'calculo BDI'!$C$36*100,"%)")</f>
        <v>Adm Local (3,49%)</v>
      </c>
      <c r="C30" s="265"/>
      <c r="D30" s="265"/>
      <c r="E30" s="265"/>
      <c r="F30" s="265"/>
      <c r="G30" s="265"/>
      <c r="H30" s="265"/>
      <c r="I30" s="266"/>
      <c r="J30" s="238">
        <f>J29*'calculo BDI'!$C$36</f>
        <v>0</v>
      </c>
      <c r="K30" s="22"/>
    </row>
    <row r="31" spans="2:12" ht="15" customHeight="1">
      <c r="B31" s="264" t="str">
        <f>CONCATENATE("BDI (",'calculo BDI'!$C$26*100,"%)")</f>
        <v>BDI (19,5%)</v>
      </c>
      <c r="C31" s="265"/>
      <c r="D31" s="265"/>
      <c r="E31" s="265"/>
      <c r="F31" s="265"/>
      <c r="G31" s="265"/>
      <c r="H31" s="265"/>
      <c r="I31" s="266"/>
      <c r="J31" s="131">
        <f>(J29+J30)*'calculo BDI'!$C$26</f>
        <v>0</v>
      </c>
      <c r="L31" s="163">
        <f>'calculo BDI'!C26</f>
        <v>0.19499999999999998</v>
      </c>
    </row>
    <row r="32" spans="2:12" ht="15" customHeight="1" thickBot="1">
      <c r="B32" s="267" t="s">
        <v>7</v>
      </c>
      <c r="C32" s="268"/>
      <c r="D32" s="268"/>
      <c r="E32" s="268"/>
      <c r="F32" s="268"/>
      <c r="G32" s="268"/>
      <c r="H32" s="268"/>
      <c r="I32" s="269"/>
      <c r="J32" s="132">
        <f>SUM(J29:J31)</f>
        <v>0</v>
      </c>
    </row>
  </sheetData>
  <mergeCells count="16">
    <mergeCell ref="B6:B7"/>
    <mergeCell ref="C6:C7"/>
    <mergeCell ref="D6:D7"/>
    <mergeCell ref="E6:E7"/>
    <mergeCell ref="F6:F7"/>
    <mergeCell ref="H6:H7"/>
    <mergeCell ref="I6:I7"/>
    <mergeCell ref="J6:J7"/>
    <mergeCell ref="C8:D8"/>
    <mergeCell ref="C13:D13"/>
    <mergeCell ref="G6:G7"/>
    <mergeCell ref="C21:D21"/>
    <mergeCell ref="B29:I29"/>
    <mergeCell ref="B31:I31"/>
    <mergeCell ref="B32:I32"/>
    <mergeCell ref="B30:I3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8" fitToHeight="0" orientation="landscape" r:id="rId1"/>
  <headerFooter>
    <oddHeader>&amp;C&amp;"Arial,Negrito"Escritório Regional Ubatuba&amp;RPlanilha Orçamentária
CPOS 175 - Março/2019</oddHeader>
    <oddFooter>&amp;L&amp;"Verdana,Negrito"&amp;8Fundação Florestal &amp;"Verdana,Normal"| Av. Prof. Frederico Hermann Jr 345 | CEP 05459-010
São Paulo, SP | Fone (11) 2997-5000 | www.fflorestal.sp.gov.br
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L71"/>
  <sheetViews>
    <sheetView showGridLines="0" topLeftCell="A61" zoomScaleNormal="100" workbookViewId="0">
      <selection activeCell="H66" sqref="H66"/>
    </sheetView>
  </sheetViews>
  <sheetFormatPr defaultRowHeight="14.25"/>
  <cols>
    <col min="1" max="1" width="3.5703125" style="14" customWidth="1"/>
    <col min="2" max="2" width="7.42578125" style="23" customWidth="1"/>
    <col min="3" max="3" width="17.7109375" style="23" customWidth="1"/>
    <col min="4" max="4" width="72.7109375" style="24" customWidth="1"/>
    <col min="5" max="5" width="5.7109375" style="23" bestFit="1" customWidth="1"/>
    <col min="6" max="6" width="12.140625" style="25" bestFit="1" customWidth="1"/>
    <col min="7" max="8" width="14" style="25" bestFit="1" customWidth="1"/>
    <col min="9" max="9" width="13.7109375" style="25" bestFit="1" customWidth="1"/>
    <col min="10" max="10" width="17.5703125" style="25" bestFit="1" customWidth="1"/>
    <col min="11" max="11" width="3.5703125" style="14" customWidth="1"/>
    <col min="12" max="12" width="9.7109375" style="14" bestFit="1" customWidth="1"/>
    <col min="13" max="16384" width="9.140625" style="14"/>
  </cols>
  <sheetData>
    <row r="5" spans="2:10" ht="15" thickBot="1"/>
    <row r="6" spans="2:10" s="10" customFormat="1">
      <c r="B6" s="277" t="s">
        <v>2</v>
      </c>
      <c r="C6" s="279" t="s">
        <v>10</v>
      </c>
      <c r="D6" s="281" t="s">
        <v>3</v>
      </c>
      <c r="E6" s="283" t="s">
        <v>4</v>
      </c>
      <c r="F6" s="272" t="s">
        <v>5</v>
      </c>
      <c r="G6" s="270" t="s">
        <v>11</v>
      </c>
      <c r="H6" s="270" t="s">
        <v>8</v>
      </c>
      <c r="I6" s="272" t="s">
        <v>9</v>
      </c>
      <c r="J6" s="274" t="s">
        <v>6</v>
      </c>
    </row>
    <row r="7" spans="2:10" s="11" customFormat="1">
      <c r="B7" s="278"/>
      <c r="C7" s="280"/>
      <c r="D7" s="282"/>
      <c r="E7" s="284"/>
      <c r="F7" s="273"/>
      <c r="G7" s="271"/>
      <c r="H7" s="271"/>
      <c r="I7" s="273"/>
      <c r="J7" s="275"/>
    </row>
    <row r="8" spans="2:10" ht="15">
      <c r="B8" s="126">
        <v>1</v>
      </c>
      <c r="C8" s="260" t="s">
        <v>82</v>
      </c>
      <c r="D8" s="260"/>
      <c r="E8" s="80"/>
      <c r="F8" s="81"/>
      <c r="G8" s="81"/>
      <c r="H8" s="81"/>
      <c r="I8" s="81"/>
      <c r="J8" s="125">
        <f>SUM(J9:J14)</f>
        <v>0</v>
      </c>
    </row>
    <row r="9" spans="2:10">
      <c r="B9" s="120" t="s">
        <v>19</v>
      </c>
      <c r="C9" s="111" t="s">
        <v>118</v>
      </c>
      <c r="D9" s="16" t="s">
        <v>89</v>
      </c>
      <c r="E9" s="17" t="s">
        <v>1</v>
      </c>
      <c r="F9" s="110">
        <f>215.1*1.05</f>
        <v>225.85499999999999</v>
      </c>
      <c r="G9" s="116">
        <v>0</v>
      </c>
      <c r="H9" s="116"/>
      <c r="I9" s="19">
        <f t="shared" ref="I9:I12" si="0">G9+H9</f>
        <v>0</v>
      </c>
      <c r="J9" s="121">
        <f t="shared" ref="J9:J12" si="1">I9*F9</f>
        <v>0</v>
      </c>
    </row>
    <row r="10" spans="2:10">
      <c r="B10" s="120" t="s">
        <v>31</v>
      </c>
      <c r="C10" s="111" t="s">
        <v>119</v>
      </c>
      <c r="D10" s="16" t="s">
        <v>87</v>
      </c>
      <c r="E10" s="17" t="s">
        <v>1</v>
      </c>
      <c r="F10" s="110">
        <v>18.149999999999999</v>
      </c>
      <c r="G10" s="116">
        <v>0</v>
      </c>
      <c r="H10" s="116"/>
      <c r="I10" s="19">
        <f t="shared" si="0"/>
        <v>0</v>
      </c>
      <c r="J10" s="121">
        <f t="shared" si="1"/>
        <v>0</v>
      </c>
    </row>
    <row r="11" spans="2:10">
      <c r="B11" s="120" t="s">
        <v>32</v>
      </c>
      <c r="C11" s="111" t="s">
        <v>118</v>
      </c>
      <c r="D11" s="16" t="s">
        <v>94</v>
      </c>
      <c r="E11" s="17" t="s">
        <v>41</v>
      </c>
      <c r="F11" s="110">
        <v>6</v>
      </c>
      <c r="G11" s="116">
        <v>0</v>
      </c>
      <c r="H11" s="116"/>
      <c r="I11" s="19">
        <f t="shared" si="0"/>
        <v>0</v>
      </c>
      <c r="J11" s="121">
        <f t="shared" si="1"/>
        <v>0</v>
      </c>
    </row>
    <row r="12" spans="2:10">
      <c r="B12" s="120" t="s">
        <v>45</v>
      </c>
      <c r="C12" s="111" t="s">
        <v>120</v>
      </c>
      <c r="D12" s="16" t="s">
        <v>95</v>
      </c>
      <c r="E12" s="17" t="s">
        <v>1</v>
      </c>
      <c r="F12" s="110">
        <f>F43-F9</f>
        <v>33.345000000000056</v>
      </c>
      <c r="G12" s="116">
        <v>0</v>
      </c>
      <c r="H12" s="116"/>
      <c r="I12" s="19">
        <f t="shared" si="0"/>
        <v>0</v>
      </c>
      <c r="J12" s="121">
        <f t="shared" si="1"/>
        <v>0</v>
      </c>
    </row>
    <row r="13" spans="2:10">
      <c r="B13" s="120" t="s">
        <v>46</v>
      </c>
      <c r="C13" s="111" t="s">
        <v>270</v>
      </c>
      <c r="D13" s="16" t="s">
        <v>271</v>
      </c>
      <c r="E13" s="17" t="s">
        <v>1</v>
      </c>
      <c r="F13" s="110">
        <v>215.1</v>
      </c>
      <c r="G13" s="116">
        <v>0</v>
      </c>
      <c r="H13" s="116"/>
      <c r="I13" s="19">
        <f t="shared" ref="I13:I14" si="2">G13+H13</f>
        <v>0</v>
      </c>
      <c r="J13" s="121">
        <f t="shared" ref="J13:J14" si="3">I13*F13</f>
        <v>0</v>
      </c>
    </row>
    <row r="14" spans="2:10" ht="15" customHeight="1">
      <c r="B14" s="120" t="s">
        <v>47</v>
      </c>
      <c r="C14" s="111" t="s">
        <v>272</v>
      </c>
      <c r="D14" s="16" t="s">
        <v>273</v>
      </c>
      <c r="E14" s="17" t="s">
        <v>1</v>
      </c>
      <c r="F14" s="110">
        <v>21.43</v>
      </c>
      <c r="G14" s="116">
        <v>0</v>
      </c>
      <c r="H14" s="116"/>
      <c r="I14" s="19">
        <f t="shared" si="2"/>
        <v>0</v>
      </c>
      <c r="J14" s="121">
        <f t="shared" si="3"/>
        <v>0</v>
      </c>
    </row>
    <row r="15" spans="2:10">
      <c r="B15" s="120"/>
      <c r="C15" s="38"/>
      <c r="D15" s="39"/>
      <c r="E15" s="40"/>
      <c r="F15" s="41"/>
      <c r="G15" s="42"/>
      <c r="H15" s="42"/>
      <c r="I15" s="42"/>
      <c r="J15" s="123"/>
    </row>
    <row r="16" spans="2:10" ht="15">
      <c r="B16" s="126">
        <v>2</v>
      </c>
      <c r="C16" s="225" t="s">
        <v>495</v>
      </c>
      <c r="D16" s="225"/>
      <c r="E16" s="80"/>
      <c r="F16" s="81"/>
      <c r="G16" s="81"/>
      <c r="H16" s="81"/>
      <c r="I16" s="81"/>
      <c r="J16" s="125">
        <f>SUM(J17:J19)</f>
        <v>0</v>
      </c>
    </row>
    <row r="17" spans="2:10">
      <c r="B17" s="120" t="s">
        <v>21</v>
      </c>
      <c r="C17" s="111" t="s">
        <v>498</v>
      </c>
      <c r="D17" s="16" t="s">
        <v>499</v>
      </c>
      <c r="E17" s="17" t="s">
        <v>1</v>
      </c>
      <c r="F17" s="110">
        <v>8</v>
      </c>
      <c r="G17" s="116">
        <v>0</v>
      </c>
      <c r="H17" s="116"/>
      <c r="I17" s="19">
        <f>H17+G17</f>
        <v>0</v>
      </c>
      <c r="J17" s="121">
        <f>I17*F17</f>
        <v>0</v>
      </c>
    </row>
    <row r="18" spans="2:10">
      <c r="B18" s="120" t="s">
        <v>22</v>
      </c>
      <c r="C18" s="111" t="s">
        <v>500</v>
      </c>
      <c r="D18" s="16" t="s">
        <v>501</v>
      </c>
      <c r="E18" s="17" t="s">
        <v>1</v>
      </c>
      <c r="F18" s="110">
        <v>8</v>
      </c>
      <c r="G18" s="116"/>
      <c r="H18" s="116"/>
      <c r="I18" s="19">
        <f>H18+G18</f>
        <v>0</v>
      </c>
      <c r="J18" s="121">
        <f>I18*F18</f>
        <v>0</v>
      </c>
    </row>
    <row r="19" spans="2:10">
      <c r="B19" s="120" t="s">
        <v>23</v>
      </c>
      <c r="C19" s="111" t="s">
        <v>496</v>
      </c>
      <c r="D19" s="16" t="s">
        <v>497</v>
      </c>
      <c r="E19" s="17" t="s">
        <v>1</v>
      </c>
      <c r="F19" s="110">
        <v>8</v>
      </c>
      <c r="G19" s="116"/>
      <c r="H19" s="116"/>
      <c r="I19" s="19">
        <f>H19+G19</f>
        <v>0</v>
      </c>
      <c r="J19" s="121">
        <f>I19*F19</f>
        <v>0</v>
      </c>
    </row>
    <row r="20" spans="2:10">
      <c r="B20" s="120"/>
      <c r="C20" s="38"/>
      <c r="D20" s="39"/>
      <c r="E20" s="40"/>
      <c r="F20" s="41"/>
      <c r="G20" s="42"/>
      <c r="H20" s="42"/>
      <c r="I20" s="42"/>
      <c r="J20" s="129"/>
    </row>
    <row r="21" spans="2:10" ht="15">
      <c r="B21" s="126">
        <v>3</v>
      </c>
      <c r="C21" s="260" t="s">
        <v>91</v>
      </c>
      <c r="D21" s="260" t="s">
        <v>83</v>
      </c>
      <c r="E21" s="80"/>
      <c r="F21" s="81"/>
      <c r="G21" s="81"/>
      <c r="H21" s="81"/>
      <c r="I21" s="81"/>
      <c r="J21" s="125">
        <f>SUM(J22)</f>
        <v>0</v>
      </c>
    </row>
    <row r="22" spans="2:10">
      <c r="B22" s="120" t="s">
        <v>28</v>
      </c>
      <c r="C22" s="111" t="s">
        <v>123</v>
      </c>
      <c r="D22" s="16" t="s">
        <v>84</v>
      </c>
      <c r="E22" s="17" t="s">
        <v>1</v>
      </c>
      <c r="F22" s="110">
        <v>208.26</v>
      </c>
      <c r="G22" s="116"/>
      <c r="H22" s="116"/>
      <c r="I22" s="19">
        <f>G22+H22</f>
        <v>0</v>
      </c>
      <c r="J22" s="121">
        <f>I22*F22</f>
        <v>0</v>
      </c>
    </row>
    <row r="23" spans="2:10">
      <c r="B23" s="120"/>
      <c r="C23" s="38"/>
      <c r="D23" s="39"/>
      <c r="E23" s="40"/>
      <c r="F23" s="41"/>
      <c r="G23" s="42"/>
      <c r="H23" s="42"/>
      <c r="I23" s="42"/>
      <c r="J23" s="123"/>
    </row>
    <row r="24" spans="2:10" ht="15">
      <c r="B24" s="126">
        <v>4</v>
      </c>
      <c r="C24" s="260" t="s">
        <v>92</v>
      </c>
      <c r="D24" s="260" t="s">
        <v>85</v>
      </c>
      <c r="E24" s="80"/>
      <c r="F24" s="81"/>
      <c r="G24" s="81"/>
      <c r="H24" s="81"/>
      <c r="I24" s="81"/>
      <c r="J24" s="125">
        <f>SUM(J25:J29)</f>
        <v>0</v>
      </c>
    </row>
    <row r="25" spans="2:10">
      <c r="B25" s="120" t="s">
        <v>67</v>
      </c>
      <c r="C25" s="111" t="s">
        <v>121</v>
      </c>
      <c r="D25" s="16" t="s">
        <v>108</v>
      </c>
      <c r="E25" s="17" t="s">
        <v>1</v>
      </c>
      <c r="F25" s="110">
        <v>8</v>
      </c>
      <c r="G25" s="116"/>
      <c r="H25" s="116"/>
      <c r="I25" s="19">
        <f t="shared" ref="I25:I29" si="4">G25+H25</f>
        <v>0</v>
      </c>
      <c r="J25" s="121">
        <f t="shared" ref="J25:J29" si="5">I25*F25</f>
        <v>0</v>
      </c>
    </row>
    <row r="26" spans="2:10">
      <c r="B26" s="120" t="s">
        <v>68</v>
      </c>
      <c r="C26" s="111" t="s">
        <v>123</v>
      </c>
      <c r="D26" s="16" t="s">
        <v>84</v>
      </c>
      <c r="E26" s="17" t="s">
        <v>1</v>
      </c>
      <c r="F26" s="110">
        <v>227.4</v>
      </c>
      <c r="G26" s="116"/>
      <c r="H26" s="116"/>
      <c r="I26" s="19">
        <f t="shared" si="4"/>
        <v>0</v>
      </c>
      <c r="J26" s="121">
        <f t="shared" si="5"/>
        <v>0</v>
      </c>
    </row>
    <row r="27" spans="2:10">
      <c r="B27" s="120" t="s">
        <v>107</v>
      </c>
      <c r="C27" s="111" t="s">
        <v>583</v>
      </c>
      <c r="D27" s="16" t="s">
        <v>584</v>
      </c>
      <c r="E27" s="17" t="s">
        <v>41</v>
      </c>
      <c r="F27" s="110">
        <v>2</v>
      </c>
      <c r="G27" s="116"/>
      <c r="H27" s="116"/>
      <c r="I27" s="19">
        <f t="shared" ref="I27" si="6">G27+H27</f>
        <v>0</v>
      </c>
      <c r="J27" s="121">
        <f t="shared" ref="J27" si="7">I27*F27</f>
        <v>0</v>
      </c>
    </row>
    <row r="28" spans="2:10">
      <c r="B28" s="120" t="s">
        <v>110</v>
      </c>
      <c r="C28" s="111" t="s">
        <v>124</v>
      </c>
      <c r="D28" s="16" t="s">
        <v>109</v>
      </c>
      <c r="E28" s="17" t="s">
        <v>1</v>
      </c>
      <c r="F28" s="110">
        <v>6</v>
      </c>
      <c r="G28" s="116"/>
      <c r="H28" s="116"/>
      <c r="I28" s="19">
        <f t="shared" si="4"/>
        <v>0</v>
      </c>
      <c r="J28" s="121">
        <f t="shared" si="5"/>
        <v>0</v>
      </c>
    </row>
    <row r="29" spans="2:10">
      <c r="B29" s="120" t="s">
        <v>297</v>
      </c>
      <c r="C29" s="111" t="s">
        <v>122</v>
      </c>
      <c r="D29" s="16" t="s">
        <v>111</v>
      </c>
      <c r="E29" s="17" t="s">
        <v>1</v>
      </c>
      <c r="F29" s="110">
        <v>10</v>
      </c>
      <c r="G29" s="116"/>
      <c r="H29" s="116"/>
      <c r="I29" s="19">
        <f t="shared" si="4"/>
        <v>0</v>
      </c>
      <c r="J29" s="121">
        <f t="shared" si="5"/>
        <v>0</v>
      </c>
    </row>
    <row r="30" spans="2:10">
      <c r="B30" s="120"/>
      <c r="C30" s="38"/>
      <c r="D30" s="39"/>
      <c r="E30" s="40"/>
      <c r="F30" s="41"/>
      <c r="G30" s="42"/>
      <c r="H30" s="42"/>
      <c r="I30" s="42"/>
      <c r="J30" s="123"/>
    </row>
    <row r="31" spans="2:10" ht="15">
      <c r="B31" s="127">
        <v>5</v>
      </c>
      <c r="C31" s="260" t="s">
        <v>93</v>
      </c>
      <c r="D31" s="260" t="s">
        <v>86</v>
      </c>
      <c r="E31" s="80"/>
      <c r="F31" s="81"/>
      <c r="G31" s="81"/>
      <c r="H31" s="81"/>
      <c r="I31" s="81"/>
      <c r="J31" s="125">
        <f>SUM(J32:J33)</f>
        <v>0</v>
      </c>
    </row>
    <row r="32" spans="2:10" ht="28.5">
      <c r="B32" s="120" t="s">
        <v>90</v>
      </c>
      <c r="C32" s="111" t="s">
        <v>125</v>
      </c>
      <c r="D32" s="16" t="s">
        <v>101</v>
      </c>
      <c r="E32" s="17" t="s">
        <v>1</v>
      </c>
      <c r="F32" s="110">
        <v>37.840000000000003</v>
      </c>
      <c r="G32" s="116"/>
      <c r="H32" s="116">
        <v>0</v>
      </c>
      <c r="I32" s="19">
        <f t="shared" ref="I32:I33" si="8">G32+H32</f>
        <v>0</v>
      </c>
      <c r="J32" s="121">
        <f t="shared" ref="J32:J33" si="9">I32*F32</f>
        <v>0</v>
      </c>
    </row>
    <row r="33" spans="2:10" ht="28.5">
      <c r="B33" s="120" t="s">
        <v>100</v>
      </c>
      <c r="C33" s="111" t="s">
        <v>126</v>
      </c>
      <c r="D33" s="16" t="s">
        <v>99</v>
      </c>
      <c r="E33" s="17" t="s">
        <v>34</v>
      </c>
      <c r="F33" s="110">
        <v>3</v>
      </c>
      <c r="G33" s="116"/>
      <c r="H33" s="116"/>
      <c r="I33" s="19">
        <f t="shared" si="8"/>
        <v>0</v>
      </c>
      <c r="J33" s="121">
        <f t="shared" si="9"/>
        <v>0</v>
      </c>
    </row>
    <row r="34" spans="2:10">
      <c r="B34" s="120"/>
      <c r="C34" s="38"/>
      <c r="D34" s="39"/>
      <c r="E34" s="40"/>
      <c r="F34" s="41"/>
      <c r="G34" s="42"/>
      <c r="H34" s="42"/>
      <c r="I34" s="42"/>
      <c r="J34" s="123"/>
    </row>
    <row r="35" spans="2:10" ht="15">
      <c r="B35" s="126">
        <v>6</v>
      </c>
      <c r="C35" s="94" t="s">
        <v>105</v>
      </c>
      <c r="D35" s="91"/>
      <c r="E35" s="92"/>
      <c r="F35" s="81"/>
      <c r="G35" s="81"/>
      <c r="H35" s="81"/>
      <c r="I35" s="81"/>
      <c r="J35" s="128">
        <f>SUM(J36)</f>
        <v>0</v>
      </c>
    </row>
    <row r="36" spans="2:10">
      <c r="B36" s="120" t="s">
        <v>361</v>
      </c>
      <c r="C36" s="111" t="s">
        <v>127</v>
      </c>
      <c r="D36" s="16" t="s">
        <v>104</v>
      </c>
      <c r="E36" s="17" t="s">
        <v>1</v>
      </c>
      <c r="F36" s="110">
        <v>135</v>
      </c>
      <c r="G36" s="116"/>
      <c r="H36" s="116"/>
      <c r="I36" s="19">
        <f>G36+H36</f>
        <v>0</v>
      </c>
      <c r="J36" s="121">
        <f>I36*F36</f>
        <v>0</v>
      </c>
    </row>
    <row r="37" spans="2:10">
      <c r="B37" s="120"/>
      <c r="C37" s="38"/>
      <c r="D37" s="39"/>
      <c r="E37" s="40"/>
      <c r="F37" s="41"/>
      <c r="G37" s="93"/>
      <c r="H37" s="42"/>
      <c r="I37" s="42"/>
      <c r="J37" s="129"/>
    </row>
    <row r="38" spans="2:10" ht="15">
      <c r="B38" s="127">
        <v>7</v>
      </c>
      <c r="C38" s="260" t="s">
        <v>128</v>
      </c>
      <c r="D38" s="260" t="s">
        <v>88</v>
      </c>
      <c r="E38" s="80"/>
      <c r="F38" s="81"/>
      <c r="G38" s="81"/>
      <c r="H38" s="81"/>
      <c r="I38" s="81"/>
      <c r="J38" s="125">
        <f>SUM(J39:J43)</f>
        <v>0</v>
      </c>
    </row>
    <row r="39" spans="2:10" ht="30" customHeight="1">
      <c r="B39" s="120" t="s">
        <v>402</v>
      </c>
      <c r="C39" s="111" t="s">
        <v>129</v>
      </c>
      <c r="D39" s="16" t="s">
        <v>130</v>
      </c>
      <c r="E39" s="17" t="s">
        <v>1</v>
      </c>
      <c r="F39" s="110">
        <v>240</v>
      </c>
      <c r="G39" s="116"/>
      <c r="H39" s="116"/>
      <c r="I39" s="19">
        <f t="shared" ref="I39:I43" si="10">G39+H39</f>
        <v>0</v>
      </c>
      <c r="J39" s="121">
        <f t="shared" ref="J39:J43" si="11">I39*F39</f>
        <v>0</v>
      </c>
    </row>
    <row r="40" spans="2:10" ht="15" customHeight="1">
      <c r="B40" s="120" t="s">
        <v>437</v>
      </c>
      <c r="C40" s="111" t="s">
        <v>131</v>
      </c>
      <c r="D40" s="16" t="s">
        <v>132</v>
      </c>
      <c r="E40" s="17" t="s">
        <v>41</v>
      </c>
      <c r="F40" s="110">
        <f>6.5</f>
        <v>6.5</v>
      </c>
      <c r="G40" s="116"/>
      <c r="H40" s="116"/>
      <c r="I40" s="19">
        <f t="shared" si="10"/>
        <v>0</v>
      </c>
      <c r="J40" s="121">
        <f t="shared" si="11"/>
        <v>0</v>
      </c>
    </row>
    <row r="41" spans="2:10">
      <c r="B41" s="120" t="s">
        <v>502</v>
      </c>
      <c r="C41" s="111" t="s">
        <v>133</v>
      </c>
      <c r="D41" s="16" t="s">
        <v>165</v>
      </c>
      <c r="E41" s="17" t="s">
        <v>41</v>
      </c>
      <c r="F41" s="110">
        <v>21.6</v>
      </c>
      <c r="G41" s="116"/>
      <c r="H41" s="116"/>
      <c r="I41" s="19">
        <f t="shared" si="10"/>
        <v>0</v>
      </c>
      <c r="J41" s="121">
        <f t="shared" si="11"/>
        <v>0</v>
      </c>
    </row>
    <row r="42" spans="2:10">
      <c r="B42" s="120" t="s">
        <v>503</v>
      </c>
      <c r="C42" s="111" t="s">
        <v>137</v>
      </c>
      <c r="D42" s="16" t="s">
        <v>138</v>
      </c>
      <c r="E42" s="17" t="s">
        <v>41</v>
      </c>
      <c r="F42" s="110">
        <v>28</v>
      </c>
      <c r="G42" s="116"/>
      <c r="H42" s="116"/>
      <c r="I42" s="19">
        <f t="shared" si="10"/>
        <v>0</v>
      </c>
      <c r="J42" s="121">
        <f t="shared" si="11"/>
        <v>0</v>
      </c>
    </row>
    <row r="43" spans="2:10">
      <c r="B43" s="120" t="s">
        <v>504</v>
      </c>
      <c r="C43" s="111" t="s">
        <v>134</v>
      </c>
      <c r="D43" s="16" t="s">
        <v>166</v>
      </c>
      <c r="E43" s="17" t="s">
        <v>1</v>
      </c>
      <c r="F43" s="110">
        <f>F39*1.08</f>
        <v>259.20000000000005</v>
      </c>
      <c r="G43" s="116"/>
      <c r="H43" s="116"/>
      <c r="I43" s="19">
        <f t="shared" si="10"/>
        <v>0</v>
      </c>
      <c r="J43" s="121">
        <f t="shared" si="11"/>
        <v>0</v>
      </c>
    </row>
    <row r="44" spans="2:10">
      <c r="B44" s="120"/>
      <c r="C44" s="111"/>
      <c r="D44" s="16"/>
      <c r="E44" s="17"/>
      <c r="F44" s="110"/>
      <c r="G44" s="116"/>
      <c r="H44" s="116"/>
      <c r="I44" s="19"/>
      <c r="J44" s="121"/>
    </row>
    <row r="45" spans="2:10" ht="15">
      <c r="B45" s="126">
        <v>8</v>
      </c>
      <c r="C45" s="106" t="s">
        <v>446</v>
      </c>
      <c r="D45" s="91"/>
      <c r="E45" s="92"/>
      <c r="F45" s="81"/>
      <c r="G45" s="81"/>
      <c r="H45" s="81"/>
      <c r="I45" s="81"/>
      <c r="J45" s="125">
        <f>SUM(J46:J47)</f>
        <v>0</v>
      </c>
    </row>
    <row r="46" spans="2:10">
      <c r="B46" s="120" t="s">
        <v>435</v>
      </c>
      <c r="C46" s="111" t="s">
        <v>449</v>
      </c>
      <c r="D46" s="16" t="s">
        <v>450</v>
      </c>
      <c r="E46" s="17" t="s">
        <v>34</v>
      </c>
      <c r="F46" s="110">
        <v>1</v>
      </c>
      <c r="G46" s="116">
        <v>0</v>
      </c>
      <c r="H46" s="116"/>
      <c r="I46" s="19">
        <f t="shared" ref="I46" si="12">G46+H46</f>
        <v>0</v>
      </c>
      <c r="J46" s="121">
        <f t="shared" ref="J46" si="13">I46*F46</f>
        <v>0</v>
      </c>
    </row>
    <row r="47" spans="2:10">
      <c r="B47" s="120" t="s">
        <v>445</v>
      </c>
      <c r="C47" s="111" t="s">
        <v>447</v>
      </c>
      <c r="D47" s="16" t="s">
        <v>448</v>
      </c>
      <c r="E47" s="17" t="s">
        <v>34</v>
      </c>
      <c r="F47" s="110">
        <v>1</v>
      </c>
      <c r="G47" s="116"/>
      <c r="H47" s="116"/>
      <c r="I47" s="19">
        <f t="shared" ref="I47" si="14">G47+H47</f>
        <v>0</v>
      </c>
      <c r="J47" s="121">
        <f t="shared" ref="J47" si="15">I47*F47</f>
        <v>0</v>
      </c>
    </row>
    <row r="48" spans="2:10">
      <c r="B48" s="120"/>
      <c r="C48" s="222"/>
      <c r="D48" s="39"/>
      <c r="E48" s="40"/>
      <c r="F48" s="221"/>
      <c r="G48" s="223"/>
      <c r="H48" s="223"/>
      <c r="I48" s="42"/>
      <c r="J48" s="200"/>
    </row>
    <row r="49" spans="2:10" ht="15" customHeight="1">
      <c r="B49" s="126">
        <v>9</v>
      </c>
      <c r="C49" s="260" t="s">
        <v>470</v>
      </c>
      <c r="D49" s="260"/>
      <c r="E49" s="80"/>
      <c r="F49" s="81"/>
      <c r="G49" s="81"/>
      <c r="H49" s="81"/>
      <c r="I49" s="81"/>
      <c r="J49" s="125">
        <f>SUM(J50:J54)</f>
        <v>0</v>
      </c>
    </row>
    <row r="50" spans="2:10" ht="28.5">
      <c r="B50" s="120" t="s">
        <v>444</v>
      </c>
      <c r="C50" s="111" t="s">
        <v>471</v>
      </c>
      <c r="D50" s="16" t="s">
        <v>472</v>
      </c>
      <c r="E50" s="17" t="s">
        <v>253</v>
      </c>
      <c r="F50" s="110">
        <f>1*2.15*0.14</f>
        <v>0.30099999999999999</v>
      </c>
      <c r="G50" s="116">
        <v>0</v>
      </c>
      <c r="H50" s="116"/>
      <c r="I50" s="19">
        <f>H50+G50</f>
        <v>0</v>
      </c>
      <c r="J50" s="121">
        <f>I50*F50</f>
        <v>0</v>
      </c>
    </row>
    <row r="51" spans="2:10">
      <c r="B51" s="120" t="s">
        <v>468</v>
      </c>
      <c r="C51" s="111" t="s">
        <v>473</v>
      </c>
      <c r="D51" s="16" t="s">
        <v>474</v>
      </c>
      <c r="E51" s="17" t="s">
        <v>253</v>
      </c>
      <c r="F51" s="110">
        <f>ROUNDUP(0.2*0.2*2,2)</f>
        <v>0.08</v>
      </c>
      <c r="G51" s="116"/>
      <c r="H51" s="116"/>
      <c r="I51" s="19">
        <f>H51+G51</f>
        <v>0</v>
      </c>
      <c r="J51" s="121">
        <f>I51*F51</f>
        <v>0</v>
      </c>
    </row>
    <row r="52" spans="2:10">
      <c r="B52" s="120" t="s">
        <v>469</v>
      </c>
      <c r="C52" s="111" t="s">
        <v>475</v>
      </c>
      <c r="D52" s="16" t="s">
        <v>476</v>
      </c>
      <c r="E52" s="17" t="s">
        <v>34</v>
      </c>
      <c r="F52" s="110">
        <v>1</v>
      </c>
      <c r="G52" s="116"/>
      <c r="H52" s="116"/>
      <c r="I52" s="19">
        <f t="shared" ref="I52:I54" si="16">H52+G52</f>
        <v>0</v>
      </c>
      <c r="J52" s="121">
        <f t="shared" ref="J52:J54" si="17">I52*F52</f>
        <v>0</v>
      </c>
    </row>
    <row r="53" spans="2:10" ht="28.5">
      <c r="B53" s="120" t="s">
        <v>505</v>
      </c>
      <c r="C53" s="111" t="s">
        <v>477</v>
      </c>
      <c r="D53" s="16" t="s">
        <v>478</v>
      </c>
      <c r="E53" s="17" t="s">
        <v>44</v>
      </c>
      <c r="F53" s="110">
        <v>1</v>
      </c>
      <c r="G53" s="116"/>
      <c r="H53" s="116"/>
      <c r="I53" s="19">
        <f t="shared" si="16"/>
        <v>0</v>
      </c>
      <c r="J53" s="121">
        <f t="shared" si="17"/>
        <v>0</v>
      </c>
    </row>
    <row r="54" spans="2:10">
      <c r="B54" s="120" t="s">
        <v>506</v>
      </c>
      <c r="C54" s="111" t="s">
        <v>479</v>
      </c>
      <c r="D54" s="16" t="s">
        <v>480</v>
      </c>
      <c r="E54" s="17" t="s">
        <v>1</v>
      </c>
      <c r="F54" s="110">
        <f>2.1*0.9*3</f>
        <v>5.67</v>
      </c>
      <c r="G54" s="116"/>
      <c r="H54" s="116"/>
      <c r="I54" s="19">
        <f t="shared" si="16"/>
        <v>0</v>
      </c>
      <c r="J54" s="121">
        <f t="shared" si="17"/>
        <v>0</v>
      </c>
    </row>
    <row r="55" spans="2:10">
      <c r="B55" s="120"/>
      <c r="C55" s="222"/>
      <c r="D55" s="39"/>
      <c r="E55" s="40"/>
      <c r="F55" s="221"/>
      <c r="G55" s="223"/>
      <c r="H55" s="223"/>
      <c r="I55" s="42"/>
      <c r="J55" s="200"/>
    </row>
    <row r="56" spans="2:10" ht="15">
      <c r="B56" s="127">
        <v>10</v>
      </c>
      <c r="C56" s="260" t="s">
        <v>436</v>
      </c>
      <c r="D56" s="260"/>
      <c r="E56" s="80"/>
      <c r="F56" s="81"/>
      <c r="G56" s="81"/>
      <c r="H56" s="81"/>
      <c r="I56" s="81"/>
      <c r="J56" s="125">
        <f>SUM(J57:J59)</f>
        <v>0</v>
      </c>
    </row>
    <row r="57" spans="2:10">
      <c r="B57" s="120" t="s">
        <v>467</v>
      </c>
      <c r="C57" s="111" t="s">
        <v>438</v>
      </c>
      <c r="D57" s="16" t="s">
        <v>439</v>
      </c>
      <c r="E57" s="17" t="s">
        <v>34</v>
      </c>
      <c r="F57" s="110">
        <v>2</v>
      </c>
      <c r="G57" s="116"/>
      <c r="H57" s="116"/>
      <c r="I57" s="19">
        <f>H57+G57</f>
        <v>0</v>
      </c>
      <c r="J57" s="121">
        <f>I57*F57</f>
        <v>0</v>
      </c>
    </row>
    <row r="58" spans="2:10">
      <c r="B58" s="120" t="s">
        <v>507</v>
      </c>
      <c r="C58" s="111" t="s">
        <v>440</v>
      </c>
      <c r="D58" s="16" t="s">
        <v>441</v>
      </c>
      <c r="E58" s="17" t="s">
        <v>34</v>
      </c>
      <c r="F58" s="110">
        <v>2</v>
      </c>
      <c r="G58" s="116"/>
      <c r="H58" s="116"/>
      <c r="I58" s="19">
        <f>H58+G58</f>
        <v>0</v>
      </c>
      <c r="J58" s="121">
        <f>I58*F58</f>
        <v>0</v>
      </c>
    </row>
    <row r="59" spans="2:10">
      <c r="B59" s="120" t="s">
        <v>508</v>
      </c>
      <c r="C59" s="111" t="s">
        <v>442</v>
      </c>
      <c r="D59" s="16" t="s">
        <v>443</v>
      </c>
      <c r="E59" s="17" t="s">
        <v>34</v>
      </c>
      <c r="F59" s="110">
        <v>2</v>
      </c>
      <c r="G59" s="116"/>
      <c r="H59" s="116"/>
      <c r="I59" s="19">
        <f>H59+G59</f>
        <v>0</v>
      </c>
      <c r="J59" s="121">
        <f>I59*F59</f>
        <v>0</v>
      </c>
    </row>
    <row r="60" spans="2:10">
      <c r="B60" s="120"/>
      <c r="C60" s="222"/>
      <c r="D60" s="39"/>
      <c r="E60" s="40"/>
      <c r="F60" s="221"/>
      <c r="G60" s="223"/>
      <c r="H60" s="223"/>
      <c r="I60" s="42"/>
      <c r="J60" s="200"/>
    </row>
    <row r="61" spans="2:10" ht="15">
      <c r="B61" s="127">
        <v>11</v>
      </c>
      <c r="C61" s="204" t="s">
        <v>551</v>
      </c>
      <c r="D61" s="204"/>
      <c r="E61" s="80"/>
      <c r="F61" s="81"/>
      <c r="G61" s="81"/>
      <c r="H61" s="81"/>
      <c r="I61" s="81"/>
      <c r="J61" s="125">
        <f>SUM(J62:J63)</f>
        <v>0</v>
      </c>
    </row>
    <row r="62" spans="2:10">
      <c r="B62" s="120" t="s">
        <v>509</v>
      </c>
      <c r="C62" s="111" t="s">
        <v>579</v>
      </c>
      <c r="D62" s="16" t="s">
        <v>580</v>
      </c>
      <c r="E62" s="17" t="s">
        <v>1</v>
      </c>
      <c r="F62" s="110">
        <f>14.25*2</f>
        <v>28.5</v>
      </c>
      <c r="G62" s="116">
        <v>0</v>
      </c>
      <c r="H62" s="116"/>
      <c r="I62" s="19">
        <f>H62+G62</f>
        <v>0</v>
      </c>
      <c r="J62" s="121">
        <f>I62*F62</f>
        <v>0</v>
      </c>
    </row>
    <row r="63" spans="2:10">
      <c r="B63" s="120" t="s">
        <v>549</v>
      </c>
      <c r="C63" s="111" t="s">
        <v>581</v>
      </c>
      <c r="D63" s="16" t="s">
        <v>582</v>
      </c>
      <c r="E63" s="17" t="s">
        <v>1</v>
      </c>
      <c r="F63" s="110">
        <v>28.5</v>
      </c>
      <c r="G63" s="116"/>
      <c r="H63" s="116">
        <v>0</v>
      </c>
      <c r="I63" s="19">
        <f>H63+G63</f>
        <v>0</v>
      </c>
      <c r="J63" s="121">
        <f>I63*F63</f>
        <v>0</v>
      </c>
    </row>
    <row r="64" spans="2:10">
      <c r="B64" s="120"/>
      <c r="C64" s="222"/>
      <c r="D64" s="39"/>
      <c r="E64" s="40"/>
      <c r="F64" s="221"/>
      <c r="G64" s="223"/>
      <c r="H64" s="223"/>
      <c r="I64" s="42"/>
      <c r="J64" s="200"/>
    </row>
    <row r="65" spans="2:12" ht="15">
      <c r="B65" s="127">
        <v>12</v>
      </c>
      <c r="C65" s="94" t="s">
        <v>102</v>
      </c>
      <c r="D65" s="91"/>
      <c r="E65" s="92"/>
      <c r="F65" s="81"/>
      <c r="G65" s="81"/>
      <c r="H65" s="81"/>
      <c r="I65" s="81"/>
      <c r="J65" s="125">
        <f>SUM(J66)</f>
        <v>0</v>
      </c>
    </row>
    <row r="66" spans="2:12">
      <c r="B66" s="120" t="s">
        <v>550</v>
      </c>
      <c r="C66" s="111" t="s">
        <v>135</v>
      </c>
      <c r="D66" s="16" t="s">
        <v>103</v>
      </c>
      <c r="E66" s="17" t="s">
        <v>1</v>
      </c>
      <c r="F66" s="110">
        <v>200</v>
      </c>
      <c r="G66" s="116">
        <v>0</v>
      </c>
      <c r="H66" s="116"/>
      <c r="I66" s="19">
        <f t="shared" ref="I66" si="18">G66+H66</f>
        <v>0</v>
      </c>
      <c r="J66" s="121">
        <f t="shared" ref="J66" si="19">I66*F66</f>
        <v>0</v>
      </c>
    </row>
    <row r="67" spans="2:12" ht="15" thickBot="1">
      <c r="B67" s="130"/>
      <c r="C67" s="103"/>
      <c r="D67" s="104"/>
      <c r="E67" s="103"/>
      <c r="F67" s="41"/>
      <c r="G67" s="105"/>
      <c r="H67" s="105"/>
      <c r="I67" s="105"/>
      <c r="J67" s="129"/>
    </row>
    <row r="68" spans="2:12" ht="15">
      <c r="B68" s="261" t="s">
        <v>6</v>
      </c>
      <c r="C68" s="262"/>
      <c r="D68" s="262"/>
      <c r="E68" s="262"/>
      <c r="F68" s="262"/>
      <c r="G68" s="262"/>
      <c r="H68" s="262"/>
      <c r="I68" s="263"/>
      <c r="J68" s="137">
        <f>J65+J56+J38+J35+J31+J24+J21+J8+J45+J16+J61+J49</f>
        <v>0</v>
      </c>
      <c r="K68" s="22"/>
    </row>
    <row r="69" spans="2:12" ht="15" customHeight="1">
      <c r="B69" s="264" t="str">
        <f>CONCATENATE("Adm Local (",'calculo BDI'!$C$36*100,"%)")</f>
        <v>Adm Local (3,49%)</v>
      </c>
      <c r="C69" s="265"/>
      <c r="D69" s="265"/>
      <c r="E69" s="265"/>
      <c r="F69" s="265"/>
      <c r="G69" s="265"/>
      <c r="H69" s="265"/>
      <c r="I69" s="266"/>
      <c r="J69" s="238">
        <f>J68*'calculo BDI'!$C$36</f>
        <v>0</v>
      </c>
      <c r="K69" s="22"/>
    </row>
    <row r="70" spans="2:12" ht="15" customHeight="1">
      <c r="B70" s="264" t="str">
        <f>CONCATENATE("BDI (",'calculo BDI'!$C$26*100,"%)")</f>
        <v>BDI (19,5%)</v>
      </c>
      <c r="C70" s="265"/>
      <c r="D70" s="265"/>
      <c r="E70" s="265"/>
      <c r="F70" s="265"/>
      <c r="G70" s="265"/>
      <c r="H70" s="265"/>
      <c r="I70" s="266"/>
      <c r="J70" s="131">
        <f>(J68+J69)*'calculo BDI'!$C$26</f>
        <v>0</v>
      </c>
      <c r="L70" s="163"/>
    </row>
    <row r="71" spans="2:12" ht="15" customHeight="1" thickBot="1">
      <c r="B71" s="267" t="s">
        <v>7</v>
      </c>
      <c r="C71" s="268"/>
      <c r="D71" s="268"/>
      <c r="E71" s="268"/>
      <c r="F71" s="268"/>
      <c r="G71" s="268"/>
      <c r="H71" s="268"/>
      <c r="I71" s="269"/>
      <c r="J71" s="132">
        <f>SUM(J68:J70)</f>
        <v>0</v>
      </c>
    </row>
  </sheetData>
  <mergeCells count="20">
    <mergeCell ref="B71:I71"/>
    <mergeCell ref="H6:H7"/>
    <mergeCell ref="I6:I7"/>
    <mergeCell ref="B70:I70"/>
    <mergeCell ref="B68:I68"/>
    <mergeCell ref="C21:D21"/>
    <mergeCell ref="C24:D24"/>
    <mergeCell ref="C31:D31"/>
    <mergeCell ref="C38:D38"/>
    <mergeCell ref="C8:D8"/>
    <mergeCell ref="C56:D56"/>
    <mergeCell ref="C49:D49"/>
    <mergeCell ref="B69:I69"/>
    <mergeCell ref="J6:J7"/>
    <mergeCell ref="B6:B7"/>
    <mergeCell ref="C6:C7"/>
    <mergeCell ref="D6:D7"/>
    <mergeCell ref="E6:E7"/>
    <mergeCell ref="F6:F7"/>
    <mergeCell ref="G6:G7"/>
  </mergeCells>
  <printOptions horizontalCentered="1"/>
  <pageMargins left="0.51181102362204722" right="0.51181102362204722" top="0.78740157480314965" bottom="1.0266666666666666" header="0.31496062992125984" footer="0.31496062992125984"/>
  <pageSetup paperSize="9" scale="79" fitToHeight="0" orientation="landscape" r:id="rId1"/>
  <headerFooter>
    <oddHeader>&amp;C&amp;"Arial,Negrito"Escritório Regional Ubatuba&amp;RPlanilha Orçamentária
CPOS 175 - Março/2019</oddHeader>
    <oddFooter>&amp;L&amp;"Verdana,Negrito"&amp;8Fundação Florestal&amp;"Verdana,Normal" | Av. Prof. Frederico Hermann Jr 345 | CEP 05459-010
São Paulo, SP | Fone (11) 2997-5000 | www.fflorestal.sp.gov.br
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O103"/>
  <sheetViews>
    <sheetView showGridLines="0" topLeftCell="A88" zoomScaleNormal="100" workbookViewId="0">
      <selection activeCell="H91" sqref="H91:H96"/>
    </sheetView>
  </sheetViews>
  <sheetFormatPr defaultRowHeight="14.25"/>
  <cols>
    <col min="1" max="1" width="3.5703125" style="14" customWidth="1"/>
    <col min="2" max="2" width="7.42578125" style="23" customWidth="1"/>
    <col min="3" max="3" width="20.85546875" style="23" bestFit="1" customWidth="1"/>
    <col min="4" max="4" width="75.5703125" style="24" customWidth="1"/>
    <col min="5" max="5" width="5.7109375" style="23" bestFit="1" customWidth="1"/>
    <col min="6" max="6" width="12.140625" style="25" bestFit="1" customWidth="1"/>
    <col min="7" max="7" width="15" style="25" bestFit="1" customWidth="1"/>
    <col min="8" max="8" width="14" style="25" bestFit="1" customWidth="1"/>
    <col min="9" max="9" width="13.7109375" style="25" bestFit="1" customWidth="1"/>
    <col min="10" max="10" width="17.5703125" style="25" bestFit="1" customWidth="1"/>
    <col min="11" max="11" width="3.5703125" style="14" customWidth="1"/>
    <col min="12" max="12" width="9.7109375" style="14" bestFit="1" customWidth="1"/>
    <col min="13" max="13" width="16.42578125" style="14" bestFit="1" customWidth="1"/>
    <col min="14" max="16384" width="9.140625" style="14"/>
  </cols>
  <sheetData>
    <row r="6" spans="2:10" s="10" customFormat="1">
      <c r="B6" s="286" t="s">
        <v>2</v>
      </c>
      <c r="C6" s="288" t="s">
        <v>10</v>
      </c>
      <c r="D6" s="289" t="s">
        <v>3</v>
      </c>
      <c r="E6" s="290" t="s">
        <v>4</v>
      </c>
      <c r="F6" s="291" t="s">
        <v>5</v>
      </c>
      <c r="G6" s="292" t="s">
        <v>11</v>
      </c>
      <c r="H6" s="292" t="s">
        <v>8</v>
      </c>
      <c r="I6" s="291" t="s">
        <v>9</v>
      </c>
      <c r="J6" s="300" t="s">
        <v>6</v>
      </c>
    </row>
    <row r="7" spans="2:10" s="11" customFormat="1">
      <c r="B7" s="287"/>
      <c r="C7" s="280"/>
      <c r="D7" s="282"/>
      <c r="E7" s="284"/>
      <c r="F7" s="273"/>
      <c r="G7" s="271"/>
      <c r="H7" s="271"/>
      <c r="I7" s="273"/>
      <c r="J7" s="301"/>
    </row>
    <row r="8" spans="2:10" s="11" customFormat="1" ht="15">
      <c r="B8" s="26">
        <v>1</v>
      </c>
      <c r="C8" s="302" t="s">
        <v>514</v>
      </c>
      <c r="D8" s="302"/>
      <c r="E8" s="27"/>
      <c r="F8" s="28"/>
      <c r="G8" s="28"/>
      <c r="H8" s="28"/>
      <c r="I8" s="28"/>
      <c r="J8" s="212">
        <f>SUM(J9:J14)</f>
        <v>0</v>
      </c>
    </row>
    <row r="9" spans="2:10" s="11" customFormat="1">
      <c r="B9" s="15" t="s">
        <v>19</v>
      </c>
      <c r="C9" s="33" t="s">
        <v>512</v>
      </c>
      <c r="D9" s="29" t="s">
        <v>513</v>
      </c>
      <c r="E9" s="17" t="s">
        <v>1</v>
      </c>
      <c r="F9" s="18">
        <v>1</v>
      </c>
      <c r="G9" s="30">
        <v>0</v>
      </c>
      <c r="H9" s="30"/>
      <c r="I9" s="30">
        <f>G9+H9</f>
        <v>0</v>
      </c>
      <c r="J9" s="20">
        <f>I9*F9</f>
        <v>0</v>
      </c>
    </row>
    <row r="10" spans="2:10" s="11" customFormat="1">
      <c r="B10" s="15" t="s">
        <v>31</v>
      </c>
      <c r="C10" s="33" t="s">
        <v>536</v>
      </c>
      <c r="D10" s="29" t="s">
        <v>537</v>
      </c>
      <c r="E10" s="33" t="s">
        <v>34</v>
      </c>
      <c r="F10" s="18">
        <v>20</v>
      </c>
      <c r="G10" s="30">
        <v>0</v>
      </c>
      <c r="H10" s="30"/>
      <c r="I10" s="30">
        <f t="shared" ref="I10:I13" si="0">G10+H10</f>
        <v>0</v>
      </c>
      <c r="J10" s="20">
        <f t="shared" ref="J10:J13" si="1">I10*F10</f>
        <v>0</v>
      </c>
    </row>
    <row r="11" spans="2:10" s="11" customFormat="1">
      <c r="B11" s="15" t="s">
        <v>32</v>
      </c>
      <c r="C11" s="33" t="s">
        <v>538</v>
      </c>
      <c r="D11" s="29" t="s">
        <v>539</v>
      </c>
      <c r="E11" s="33" t="s">
        <v>34</v>
      </c>
      <c r="F11" s="18">
        <v>20</v>
      </c>
      <c r="G11" s="30">
        <v>0</v>
      </c>
      <c r="H11" s="30"/>
      <c r="I11" s="30">
        <f t="shared" si="0"/>
        <v>0</v>
      </c>
      <c r="J11" s="20">
        <f t="shared" si="1"/>
        <v>0</v>
      </c>
    </row>
    <row r="12" spans="2:10" s="11" customFormat="1">
      <c r="B12" s="15" t="s">
        <v>45</v>
      </c>
      <c r="C12" s="33" t="s">
        <v>540</v>
      </c>
      <c r="D12" s="29" t="s">
        <v>541</v>
      </c>
      <c r="E12" s="33" t="s">
        <v>41</v>
      </c>
      <c r="F12" s="18">
        <v>60</v>
      </c>
      <c r="G12" s="30">
        <v>0</v>
      </c>
      <c r="H12" s="30"/>
      <c r="I12" s="30">
        <f t="shared" si="0"/>
        <v>0</v>
      </c>
      <c r="J12" s="20">
        <f t="shared" si="1"/>
        <v>0</v>
      </c>
    </row>
    <row r="13" spans="2:10" s="11" customFormat="1">
      <c r="B13" s="15" t="s">
        <v>46</v>
      </c>
      <c r="C13" s="33" t="s">
        <v>542</v>
      </c>
      <c r="D13" s="29" t="s">
        <v>543</v>
      </c>
      <c r="E13" s="33" t="s">
        <v>34</v>
      </c>
      <c r="F13" s="18">
        <v>40</v>
      </c>
      <c r="G13" s="30">
        <v>0</v>
      </c>
      <c r="H13" s="30"/>
      <c r="I13" s="30">
        <f t="shared" si="0"/>
        <v>0</v>
      </c>
      <c r="J13" s="20">
        <f t="shared" si="1"/>
        <v>0</v>
      </c>
    </row>
    <row r="14" spans="2:10" s="11" customFormat="1">
      <c r="B14" s="15"/>
      <c r="C14" s="34"/>
      <c r="D14" s="31"/>
      <c r="E14" s="34"/>
      <c r="F14" s="18"/>
      <c r="G14" s="32"/>
      <c r="H14" s="32"/>
      <c r="I14" s="30"/>
      <c r="J14" s="20"/>
    </row>
    <row r="15" spans="2:10" s="11" customFormat="1" ht="15">
      <c r="B15" s="26">
        <v>2</v>
      </c>
      <c r="C15" s="302" t="s">
        <v>20</v>
      </c>
      <c r="D15" s="302"/>
      <c r="E15" s="27"/>
      <c r="F15" s="28"/>
      <c r="G15" s="28"/>
      <c r="H15" s="28"/>
      <c r="I15" s="28"/>
      <c r="J15" s="212">
        <f>SUM(J16:J28)</f>
        <v>0</v>
      </c>
    </row>
    <row r="16" spans="2:10" ht="30" customHeight="1">
      <c r="B16" s="84" t="s">
        <v>21</v>
      </c>
      <c r="C16" s="33" t="s">
        <v>35</v>
      </c>
      <c r="D16" s="29" t="s">
        <v>352</v>
      </c>
      <c r="E16" s="17" t="s">
        <v>34</v>
      </c>
      <c r="F16" s="18">
        <v>20</v>
      </c>
      <c r="G16" s="30"/>
      <c r="H16" s="30"/>
      <c r="I16" s="30">
        <f>G16+H16</f>
        <v>0</v>
      </c>
      <c r="J16" s="20">
        <f>I16*F16</f>
        <v>0</v>
      </c>
    </row>
    <row r="17" spans="2:10">
      <c r="B17" s="15" t="s">
        <v>22</v>
      </c>
      <c r="C17" s="33" t="s">
        <v>197</v>
      </c>
      <c r="D17" s="29" t="s">
        <v>396</v>
      </c>
      <c r="E17" s="33" t="s">
        <v>164</v>
      </c>
      <c r="F17" s="18">
        <f>F16*0.07</f>
        <v>1.4000000000000001</v>
      </c>
      <c r="G17" s="30"/>
      <c r="H17" s="30"/>
      <c r="I17" s="30">
        <f t="shared" ref="I17" si="2">G17+H17</f>
        <v>0</v>
      </c>
      <c r="J17" s="20">
        <f t="shared" ref="J17" si="3">I17*F17</f>
        <v>0</v>
      </c>
    </row>
    <row r="18" spans="2:10" ht="28.5">
      <c r="B18" s="84" t="s">
        <v>23</v>
      </c>
      <c r="C18" s="33" t="s">
        <v>403</v>
      </c>
      <c r="D18" s="29" t="s">
        <v>404</v>
      </c>
      <c r="E18" s="33" t="s">
        <v>34</v>
      </c>
      <c r="F18" s="18">
        <v>1</v>
      </c>
      <c r="G18" s="30"/>
      <c r="H18" s="30"/>
      <c r="I18" s="30">
        <f t="shared" ref="I18:I19" si="4">G18+H18</f>
        <v>0</v>
      </c>
      <c r="J18" s="20">
        <f t="shared" ref="J18:J19" si="5">I18*F18</f>
        <v>0</v>
      </c>
    </row>
    <row r="19" spans="2:10">
      <c r="B19" s="15" t="s">
        <v>24</v>
      </c>
      <c r="C19" s="33" t="s">
        <v>405</v>
      </c>
      <c r="D19" s="29" t="s">
        <v>406</v>
      </c>
      <c r="E19" s="33" t="s">
        <v>34</v>
      </c>
      <c r="F19" s="18">
        <v>9</v>
      </c>
      <c r="G19" s="30"/>
      <c r="H19" s="30"/>
      <c r="I19" s="30">
        <f t="shared" si="4"/>
        <v>0</v>
      </c>
      <c r="J19" s="20">
        <f t="shared" si="5"/>
        <v>0</v>
      </c>
    </row>
    <row r="20" spans="2:10">
      <c r="B20" s="15" t="s">
        <v>25</v>
      </c>
      <c r="C20" s="33" t="s">
        <v>407</v>
      </c>
      <c r="D20" s="29" t="s">
        <v>408</v>
      </c>
      <c r="E20" s="33" t="s">
        <v>34</v>
      </c>
      <c r="F20" s="18">
        <v>10</v>
      </c>
      <c r="G20" s="30"/>
      <c r="H20" s="30"/>
      <c r="I20" s="30">
        <f t="shared" ref="I20:I28" si="6">G20+H20</f>
        <v>0</v>
      </c>
      <c r="J20" s="20">
        <f t="shared" ref="J20:J28" si="7">I20*F20</f>
        <v>0</v>
      </c>
    </row>
    <row r="21" spans="2:10">
      <c r="B21" s="15" t="s">
        <v>26</v>
      </c>
      <c r="C21" s="33" t="s">
        <v>409</v>
      </c>
      <c r="D21" s="29" t="s">
        <v>410</v>
      </c>
      <c r="E21" s="33" t="s">
        <v>34</v>
      </c>
      <c r="F21" s="18">
        <v>1</v>
      </c>
      <c r="G21" s="30"/>
      <c r="H21" s="30"/>
      <c r="I21" s="30">
        <f t="shared" si="6"/>
        <v>0</v>
      </c>
      <c r="J21" s="20">
        <f t="shared" si="7"/>
        <v>0</v>
      </c>
    </row>
    <row r="22" spans="2:10" ht="28.5">
      <c r="B22" s="15" t="s">
        <v>27</v>
      </c>
      <c r="C22" s="33" t="s">
        <v>413</v>
      </c>
      <c r="D22" s="29" t="s">
        <v>414</v>
      </c>
      <c r="E22" s="33" t="s">
        <v>34</v>
      </c>
      <c r="F22" s="18">
        <v>4</v>
      </c>
      <c r="G22" s="30"/>
      <c r="H22" s="30"/>
      <c r="I22" s="30">
        <f t="shared" si="6"/>
        <v>0</v>
      </c>
      <c r="J22" s="20">
        <f t="shared" si="7"/>
        <v>0</v>
      </c>
    </row>
    <row r="23" spans="2:10">
      <c r="B23" s="15" t="s">
        <v>36</v>
      </c>
      <c r="C23" s="33" t="s">
        <v>411</v>
      </c>
      <c r="D23" s="29" t="s">
        <v>412</v>
      </c>
      <c r="E23" s="33" t="s">
        <v>34</v>
      </c>
      <c r="F23" s="18">
        <v>2</v>
      </c>
      <c r="G23" s="30"/>
      <c r="H23" s="30"/>
      <c r="I23" s="30">
        <f t="shared" si="6"/>
        <v>0</v>
      </c>
      <c r="J23" s="20">
        <f t="shared" si="7"/>
        <v>0</v>
      </c>
    </row>
    <row r="24" spans="2:10" ht="25.5" customHeight="1">
      <c r="B24" s="15" t="s">
        <v>37</v>
      </c>
      <c r="C24" s="33" t="s">
        <v>422</v>
      </c>
      <c r="D24" s="29" t="s">
        <v>423</v>
      </c>
      <c r="E24" s="17" t="s">
        <v>34</v>
      </c>
      <c r="F24" s="18">
        <v>1</v>
      </c>
      <c r="G24" s="30"/>
      <c r="H24" s="30"/>
      <c r="I24" s="30">
        <f t="shared" si="6"/>
        <v>0</v>
      </c>
      <c r="J24" s="20">
        <f t="shared" si="7"/>
        <v>0</v>
      </c>
    </row>
    <row r="25" spans="2:10">
      <c r="B25" s="15" t="s">
        <v>38</v>
      </c>
      <c r="C25" s="34" t="s">
        <v>35</v>
      </c>
      <c r="D25" s="31" t="s">
        <v>425</v>
      </c>
      <c r="E25" s="34" t="s">
        <v>34</v>
      </c>
      <c r="F25" s="18">
        <v>2</v>
      </c>
      <c r="G25" s="32"/>
      <c r="H25" s="32">
        <v>0</v>
      </c>
      <c r="I25" s="30">
        <f t="shared" si="6"/>
        <v>0</v>
      </c>
      <c r="J25" s="20">
        <f t="shared" si="7"/>
        <v>0</v>
      </c>
    </row>
    <row r="26" spans="2:10">
      <c r="B26" s="15" t="s">
        <v>39</v>
      </c>
      <c r="C26" s="34" t="s">
        <v>35</v>
      </c>
      <c r="D26" s="31" t="s">
        <v>426</v>
      </c>
      <c r="E26" s="17" t="s">
        <v>34</v>
      </c>
      <c r="F26" s="18">
        <v>3</v>
      </c>
      <c r="G26" s="32"/>
      <c r="H26" s="32">
        <v>0</v>
      </c>
      <c r="I26" s="30">
        <f t="shared" si="6"/>
        <v>0</v>
      </c>
      <c r="J26" s="20">
        <f t="shared" si="7"/>
        <v>0</v>
      </c>
    </row>
    <row r="27" spans="2:10">
      <c r="B27" s="15" t="s">
        <v>48</v>
      </c>
      <c r="C27" s="33" t="s">
        <v>197</v>
      </c>
      <c r="D27" s="29" t="s">
        <v>464</v>
      </c>
      <c r="E27" s="33" t="s">
        <v>164</v>
      </c>
      <c r="F27" s="18">
        <f>F25*0.05</f>
        <v>0.1</v>
      </c>
      <c r="G27" s="30"/>
      <c r="H27" s="30"/>
      <c r="I27" s="30">
        <f t="shared" si="6"/>
        <v>0</v>
      </c>
      <c r="J27" s="20">
        <f t="shared" si="7"/>
        <v>0</v>
      </c>
    </row>
    <row r="28" spans="2:10">
      <c r="B28" s="15" t="s">
        <v>71</v>
      </c>
      <c r="C28" s="33" t="s">
        <v>198</v>
      </c>
      <c r="D28" s="29" t="s">
        <v>465</v>
      </c>
      <c r="E28" s="33" t="s">
        <v>164</v>
      </c>
      <c r="F28" s="18">
        <f>0.1*F26</f>
        <v>0.30000000000000004</v>
      </c>
      <c r="G28" s="30"/>
      <c r="H28" s="30"/>
      <c r="I28" s="30">
        <f t="shared" si="6"/>
        <v>0</v>
      </c>
      <c r="J28" s="20">
        <f t="shared" si="7"/>
        <v>0</v>
      </c>
    </row>
    <row r="29" spans="2:10">
      <c r="B29" s="15"/>
      <c r="C29" s="38"/>
      <c r="D29" s="39"/>
      <c r="E29" s="40"/>
      <c r="F29" s="41"/>
      <c r="G29" s="42"/>
      <c r="H29" s="42"/>
      <c r="I29" s="42"/>
      <c r="J29" s="43"/>
    </row>
    <row r="30" spans="2:10" s="11" customFormat="1" ht="15">
      <c r="B30" s="26">
        <v>3</v>
      </c>
      <c r="C30" s="302" t="s">
        <v>40</v>
      </c>
      <c r="D30" s="302"/>
      <c r="E30" s="27"/>
      <c r="F30" s="28"/>
      <c r="G30" s="28"/>
      <c r="H30" s="28"/>
      <c r="I30" s="28"/>
      <c r="J30" s="212">
        <f>SUM(J31:J48)</f>
        <v>0</v>
      </c>
    </row>
    <row r="31" spans="2:10">
      <c r="B31" s="15" t="s">
        <v>28</v>
      </c>
      <c r="C31" s="213" t="s">
        <v>363</v>
      </c>
      <c r="D31" s="214" t="s">
        <v>364</v>
      </c>
      <c r="E31" s="213" t="s">
        <v>41</v>
      </c>
      <c r="F31" s="218">
        <f>ROUNDUP(863.53*1.3,0)</f>
        <v>1123</v>
      </c>
      <c r="G31" s="219"/>
      <c r="H31" s="219"/>
      <c r="I31" s="117">
        <f>H31+G31</f>
        <v>0</v>
      </c>
      <c r="J31" s="20">
        <f t="shared" ref="J31:J32" si="8">I31*F31</f>
        <v>0</v>
      </c>
    </row>
    <row r="32" spans="2:10">
      <c r="B32" s="15" t="s">
        <v>29</v>
      </c>
      <c r="C32" s="213" t="s">
        <v>365</v>
      </c>
      <c r="D32" s="214" t="s">
        <v>366</v>
      </c>
      <c r="E32" s="213" t="s">
        <v>41</v>
      </c>
      <c r="F32" s="218">
        <f>ROUNDUP(403.77*1.3,0)</f>
        <v>525</v>
      </c>
      <c r="G32" s="219"/>
      <c r="H32" s="219"/>
      <c r="I32" s="117">
        <f t="shared" ref="I32:I33" si="9">H32+G32</f>
        <v>0</v>
      </c>
      <c r="J32" s="20">
        <f t="shared" si="8"/>
        <v>0</v>
      </c>
    </row>
    <row r="33" spans="2:10">
      <c r="B33" s="15" t="s">
        <v>30</v>
      </c>
      <c r="C33" s="33" t="s">
        <v>367</v>
      </c>
      <c r="D33" s="113" t="s">
        <v>368</v>
      </c>
      <c r="E33" s="33" t="s">
        <v>41</v>
      </c>
      <c r="F33" s="18">
        <f>ROUNDUP(39.54*1.3,0)</f>
        <v>52</v>
      </c>
      <c r="G33" s="117"/>
      <c r="H33" s="117"/>
      <c r="I33" s="117">
        <f t="shared" si="9"/>
        <v>0</v>
      </c>
      <c r="J33" s="20">
        <f>I33*F33</f>
        <v>0</v>
      </c>
    </row>
    <row r="34" spans="2:10">
      <c r="B34" s="15" t="s">
        <v>42</v>
      </c>
      <c r="C34" s="33" t="s">
        <v>369</v>
      </c>
      <c r="D34" s="220" t="s">
        <v>370</v>
      </c>
      <c r="E34" s="33" t="s">
        <v>44</v>
      </c>
      <c r="F34" s="18">
        <v>2</v>
      </c>
      <c r="G34" s="117"/>
      <c r="H34" s="117"/>
      <c r="I34" s="117">
        <f t="shared" ref="I34:I36" si="10">G34+H34</f>
        <v>0</v>
      </c>
      <c r="J34" s="20">
        <f t="shared" ref="J34:J44" si="11">I34*F34</f>
        <v>0</v>
      </c>
    </row>
    <row r="35" spans="2:10">
      <c r="B35" s="15" t="s">
        <v>43</v>
      </c>
      <c r="C35" s="33" t="s">
        <v>371</v>
      </c>
      <c r="D35" s="220" t="s">
        <v>372</v>
      </c>
      <c r="E35" s="33" t="s">
        <v>44</v>
      </c>
      <c r="F35" s="18">
        <v>12</v>
      </c>
      <c r="G35" s="117"/>
      <c r="H35" s="117"/>
      <c r="I35" s="117">
        <f t="shared" si="10"/>
        <v>0</v>
      </c>
      <c r="J35" s="20">
        <f t="shared" si="11"/>
        <v>0</v>
      </c>
    </row>
    <row r="36" spans="2:10">
      <c r="B36" s="15" t="s">
        <v>199</v>
      </c>
      <c r="C36" s="33" t="s">
        <v>373</v>
      </c>
      <c r="D36" s="220" t="s">
        <v>374</v>
      </c>
      <c r="E36" s="33" t="s">
        <v>44</v>
      </c>
      <c r="F36" s="18">
        <v>64</v>
      </c>
      <c r="G36" s="117"/>
      <c r="H36" s="117"/>
      <c r="I36" s="117">
        <f t="shared" si="10"/>
        <v>0</v>
      </c>
      <c r="J36" s="20">
        <f t="shared" si="11"/>
        <v>0</v>
      </c>
    </row>
    <row r="37" spans="2:10" ht="15" customHeight="1">
      <c r="B37" s="15" t="s">
        <v>200</v>
      </c>
      <c r="C37" s="33" t="s">
        <v>375</v>
      </c>
      <c r="D37" s="220" t="s">
        <v>376</v>
      </c>
      <c r="E37" s="33" t="s">
        <v>44</v>
      </c>
      <c r="F37" s="18">
        <v>2</v>
      </c>
      <c r="G37" s="117"/>
      <c r="H37" s="117"/>
      <c r="I37" s="117">
        <f t="shared" ref="I37:I47" si="12">G37+H37</f>
        <v>0</v>
      </c>
      <c r="J37" s="20">
        <f t="shared" si="11"/>
        <v>0</v>
      </c>
    </row>
    <row r="38" spans="2:10">
      <c r="B38" s="15" t="s">
        <v>201</v>
      </c>
      <c r="C38" s="33" t="s">
        <v>142</v>
      </c>
      <c r="D38" s="113" t="s">
        <v>52</v>
      </c>
      <c r="E38" s="33" t="s">
        <v>41</v>
      </c>
      <c r="F38" s="18">
        <v>40</v>
      </c>
      <c r="G38" s="117"/>
      <c r="H38" s="117"/>
      <c r="I38" s="117">
        <f t="shared" ref="I38:I43" si="13">G38+H38</f>
        <v>0</v>
      </c>
      <c r="J38" s="20">
        <f t="shared" ref="J38:J43" si="14">I38*F38</f>
        <v>0</v>
      </c>
    </row>
    <row r="39" spans="2:10">
      <c r="B39" s="15" t="s">
        <v>210</v>
      </c>
      <c r="C39" s="33" t="s">
        <v>141</v>
      </c>
      <c r="D39" s="113" t="s">
        <v>51</v>
      </c>
      <c r="E39" s="33" t="s">
        <v>41</v>
      </c>
      <c r="F39" s="18">
        <v>271</v>
      </c>
      <c r="G39" s="117"/>
      <c r="H39" s="117"/>
      <c r="I39" s="117">
        <f t="shared" si="13"/>
        <v>0</v>
      </c>
      <c r="J39" s="20">
        <f t="shared" si="14"/>
        <v>0</v>
      </c>
    </row>
    <row r="40" spans="2:10">
      <c r="B40" s="15" t="s">
        <v>211</v>
      </c>
      <c r="C40" s="33" t="s">
        <v>377</v>
      </c>
      <c r="D40" s="113" t="s">
        <v>378</v>
      </c>
      <c r="E40" s="33" t="s">
        <v>44</v>
      </c>
      <c r="F40" s="18">
        <v>2</v>
      </c>
      <c r="G40" s="117"/>
      <c r="H40" s="117"/>
      <c r="I40" s="117">
        <f t="shared" si="13"/>
        <v>0</v>
      </c>
      <c r="J40" s="20">
        <f t="shared" si="14"/>
        <v>0</v>
      </c>
    </row>
    <row r="41" spans="2:10">
      <c r="B41" s="15" t="s">
        <v>515</v>
      </c>
      <c r="C41" s="33" t="s">
        <v>379</v>
      </c>
      <c r="D41" s="113" t="s">
        <v>380</v>
      </c>
      <c r="E41" s="33" t="s">
        <v>44</v>
      </c>
      <c r="F41" s="18">
        <f>10+F36+F35+F34+F37</f>
        <v>90</v>
      </c>
      <c r="G41" s="117"/>
      <c r="H41" s="117"/>
      <c r="I41" s="117">
        <f t="shared" si="13"/>
        <v>0</v>
      </c>
      <c r="J41" s="20">
        <f t="shared" si="14"/>
        <v>0</v>
      </c>
    </row>
    <row r="42" spans="2:10">
      <c r="B42" s="15" t="s">
        <v>516</v>
      </c>
      <c r="C42" s="33" t="s">
        <v>415</v>
      </c>
      <c r="D42" s="113" t="s">
        <v>416</v>
      </c>
      <c r="E42" s="33" t="s">
        <v>34</v>
      </c>
      <c r="F42" s="18">
        <f>2+15</f>
        <v>17</v>
      </c>
      <c r="G42" s="117"/>
      <c r="H42" s="117"/>
      <c r="I42" s="117">
        <f t="shared" si="13"/>
        <v>0</v>
      </c>
      <c r="J42" s="20">
        <f t="shared" si="14"/>
        <v>0</v>
      </c>
    </row>
    <row r="43" spans="2:10">
      <c r="B43" s="15" t="s">
        <v>517</v>
      </c>
      <c r="C43" s="33" t="s">
        <v>417</v>
      </c>
      <c r="D43" s="113" t="s">
        <v>418</v>
      </c>
      <c r="E43" s="33" t="s">
        <v>34</v>
      </c>
      <c r="F43" s="18">
        <f>10+30</f>
        <v>40</v>
      </c>
      <c r="G43" s="117"/>
      <c r="H43" s="117"/>
      <c r="I43" s="117">
        <f t="shared" si="13"/>
        <v>0</v>
      </c>
      <c r="J43" s="20">
        <f t="shared" si="14"/>
        <v>0</v>
      </c>
    </row>
    <row r="44" spans="2:10">
      <c r="B44" s="15" t="s">
        <v>518</v>
      </c>
      <c r="C44" s="33" t="s">
        <v>419</v>
      </c>
      <c r="D44" s="113" t="s">
        <v>420</v>
      </c>
      <c r="E44" s="33" t="s">
        <v>34</v>
      </c>
      <c r="F44" s="18">
        <v>29</v>
      </c>
      <c r="G44" s="117"/>
      <c r="H44" s="117"/>
      <c r="I44" s="117">
        <f t="shared" si="12"/>
        <v>0</v>
      </c>
      <c r="J44" s="20">
        <f t="shared" si="11"/>
        <v>0</v>
      </c>
    </row>
    <row r="45" spans="2:10">
      <c r="B45" s="15" t="s">
        <v>519</v>
      </c>
      <c r="C45" s="33" t="s">
        <v>35</v>
      </c>
      <c r="D45" s="113" t="s">
        <v>434</v>
      </c>
      <c r="E45" s="33" t="s">
        <v>34</v>
      </c>
      <c r="F45" s="18">
        <v>250</v>
      </c>
      <c r="G45" s="117"/>
      <c r="H45" s="117"/>
      <c r="I45" s="117">
        <f t="shared" si="12"/>
        <v>0</v>
      </c>
      <c r="J45" s="20">
        <f t="shared" ref="J45:J47" si="15">I45*F45</f>
        <v>0</v>
      </c>
    </row>
    <row r="46" spans="2:10">
      <c r="B46" s="15" t="s">
        <v>520</v>
      </c>
      <c r="C46" s="33" t="s">
        <v>35</v>
      </c>
      <c r="D46" s="113" t="s">
        <v>433</v>
      </c>
      <c r="E46" s="33" t="s">
        <v>34</v>
      </c>
      <c r="F46" s="37">
        <v>150</v>
      </c>
      <c r="G46" s="117"/>
      <c r="H46" s="117"/>
      <c r="I46" s="117">
        <f t="shared" si="12"/>
        <v>0</v>
      </c>
      <c r="J46" s="20">
        <f t="shared" si="15"/>
        <v>0</v>
      </c>
    </row>
    <row r="47" spans="2:10">
      <c r="B47" s="15" t="s">
        <v>521</v>
      </c>
      <c r="C47" s="33" t="s">
        <v>35</v>
      </c>
      <c r="D47" s="113" t="s">
        <v>429</v>
      </c>
      <c r="E47" s="33" t="s">
        <v>34</v>
      </c>
      <c r="F47" s="37">
        <v>4</v>
      </c>
      <c r="G47" s="117"/>
      <c r="H47" s="117"/>
      <c r="I47" s="117">
        <f t="shared" si="12"/>
        <v>0</v>
      </c>
      <c r="J47" s="20">
        <f t="shared" si="15"/>
        <v>0</v>
      </c>
    </row>
    <row r="48" spans="2:10">
      <c r="B48" s="15" t="s">
        <v>522</v>
      </c>
      <c r="C48" s="33" t="s">
        <v>197</v>
      </c>
      <c r="D48" s="113" t="s">
        <v>466</v>
      </c>
      <c r="E48" s="33" t="s">
        <v>164</v>
      </c>
      <c r="F48" s="37">
        <f>SUM(F45:F47)*0.02</f>
        <v>8.08</v>
      </c>
      <c r="G48" s="117"/>
      <c r="H48" s="117"/>
      <c r="I48" s="117">
        <f t="shared" ref="I48" si="16">G48+H48</f>
        <v>0</v>
      </c>
      <c r="J48" s="20">
        <f t="shared" ref="J48" si="17">I48*F48</f>
        <v>0</v>
      </c>
    </row>
    <row r="49" spans="2:15">
      <c r="B49" s="35"/>
      <c r="C49" s="44"/>
      <c r="D49" s="44"/>
      <c r="E49" s="45"/>
      <c r="F49" s="46"/>
      <c r="G49" s="47"/>
      <c r="H49" s="47"/>
      <c r="I49" s="47"/>
      <c r="J49" s="20"/>
    </row>
    <row r="50" spans="2:15" s="11" customFormat="1" ht="15" customHeight="1">
      <c r="B50" s="26">
        <v>4</v>
      </c>
      <c r="C50" s="293" t="s">
        <v>33</v>
      </c>
      <c r="D50" s="293"/>
      <c r="E50" s="36"/>
      <c r="F50" s="28"/>
      <c r="G50" s="28"/>
      <c r="H50" s="28"/>
      <c r="I50" s="28"/>
      <c r="J50" s="212">
        <f>SUM(J51:J59)</f>
        <v>0</v>
      </c>
    </row>
    <row r="51" spans="2:15" ht="30" customHeight="1">
      <c r="B51" s="15" t="s">
        <v>67</v>
      </c>
      <c r="C51" s="33" t="s">
        <v>35</v>
      </c>
      <c r="D51" s="29" t="s">
        <v>167</v>
      </c>
      <c r="E51" s="33" t="s">
        <v>34</v>
      </c>
      <c r="F51" s="18">
        <v>28</v>
      </c>
      <c r="G51" s="30"/>
      <c r="H51" s="30"/>
      <c r="I51" s="30">
        <f>G51+H51</f>
        <v>0</v>
      </c>
      <c r="J51" s="20">
        <f>I51*F51</f>
        <v>0</v>
      </c>
    </row>
    <row r="52" spans="2:15" ht="15" customHeight="1">
      <c r="B52" s="15" t="s">
        <v>68</v>
      </c>
      <c r="C52" s="33" t="s">
        <v>197</v>
      </c>
      <c r="D52" s="29" t="s">
        <v>590</v>
      </c>
      <c r="E52" s="33" t="s">
        <v>164</v>
      </c>
      <c r="F52" s="18">
        <f>F51*0.25</f>
        <v>7</v>
      </c>
      <c r="G52" s="30"/>
      <c r="H52" s="30"/>
      <c r="I52" s="30">
        <f t="shared" ref="I52:I54" si="18">G52+H52</f>
        <v>0</v>
      </c>
      <c r="J52" s="20">
        <f t="shared" ref="J52:J54" si="19">I52*F52</f>
        <v>0</v>
      </c>
    </row>
    <row r="53" spans="2:15" ht="15" customHeight="1">
      <c r="B53" s="15" t="s">
        <v>107</v>
      </c>
      <c r="C53" s="33" t="s">
        <v>198</v>
      </c>
      <c r="D53" s="29" t="s">
        <v>202</v>
      </c>
      <c r="E53" s="33" t="s">
        <v>164</v>
      </c>
      <c r="F53" s="18">
        <f>F52</f>
        <v>7</v>
      </c>
      <c r="G53" s="30"/>
      <c r="H53" s="30"/>
      <c r="I53" s="30">
        <f t="shared" si="18"/>
        <v>0</v>
      </c>
      <c r="J53" s="20">
        <f t="shared" si="19"/>
        <v>0</v>
      </c>
    </row>
    <row r="54" spans="2:15">
      <c r="B54" s="15" t="s">
        <v>110</v>
      </c>
      <c r="C54" s="33" t="s">
        <v>195</v>
      </c>
      <c r="D54" s="29" t="s">
        <v>196</v>
      </c>
      <c r="E54" s="33" t="s">
        <v>34</v>
      </c>
      <c r="F54" s="18">
        <v>6</v>
      </c>
      <c r="G54" s="30"/>
      <c r="H54" s="30"/>
      <c r="I54" s="30">
        <f t="shared" si="18"/>
        <v>0</v>
      </c>
      <c r="J54" s="20">
        <f t="shared" si="19"/>
        <v>0</v>
      </c>
    </row>
    <row r="55" spans="2:15">
      <c r="B55" s="15" t="s">
        <v>297</v>
      </c>
      <c r="C55" s="33" t="s">
        <v>203</v>
      </c>
      <c r="D55" s="29" t="s">
        <v>204</v>
      </c>
      <c r="E55" s="33" t="s">
        <v>34</v>
      </c>
      <c r="F55" s="18">
        <v>23</v>
      </c>
      <c r="G55" s="30"/>
      <c r="H55" s="30"/>
      <c r="I55" s="30">
        <f t="shared" ref="I55:I59" si="20">G55+H55</f>
        <v>0</v>
      </c>
      <c r="J55" s="20">
        <f t="shared" ref="J55:J59" si="21">I55*F55</f>
        <v>0</v>
      </c>
    </row>
    <row r="56" spans="2:15">
      <c r="B56" s="15" t="s">
        <v>392</v>
      </c>
      <c r="C56" s="33" t="s">
        <v>205</v>
      </c>
      <c r="D56" s="29" t="s">
        <v>206</v>
      </c>
      <c r="E56" s="33" t="s">
        <v>34</v>
      </c>
      <c r="F56" s="18">
        <v>12</v>
      </c>
      <c r="G56" s="30"/>
      <c r="H56" s="30"/>
      <c r="I56" s="30">
        <f t="shared" si="20"/>
        <v>0</v>
      </c>
      <c r="J56" s="20">
        <f t="shared" si="21"/>
        <v>0</v>
      </c>
      <c r="N56" s="233"/>
      <c r="O56" s="233"/>
    </row>
    <row r="57" spans="2:15" ht="30" customHeight="1">
      <c r="B57" s="15" t="s">
        <v>393</v>
      </c>
      <c r="C57" s="33" t="s">
        <v>207</v>
      </c>
      <c r="D57" s="29" t="s">
        <v>208</v>
      </c>
      <c r="E57" s="33" t="s">
        <v>34</v>
      </c>
      <c r="F57" s="18">
        <v>4</v>
      </c>
      <c r="G57" s="30"/>
      <c r="H57" s="30"/>
      <c r="I57" s="30">
        <f t="shared" si="20"/>
        <v>0</v>
      </c>
      <c r="J57" s="20">
        <f t="shared" si="21"/>
        <v>0</v>
      </c>
      <c r="N57" s="299"/>
      <c r="O57" s="299"/>
    </row>
    <row r="58" spans="2:15">
      <c r="B58" s="15" t="s">
        <v>394</v>
      </c>
      <c r="C58" s="33" t="s">
        <v>35</v>
      </c>
      <c r="D58" s="29" t="s">
        <v>209</v>
      </c>
      <c r="E58" s="33" t="s">
        <v>34</v>
      </c>
      <c r="F58" s="18">
        <v>4</v>
      </c>
      <c r="G58" s="30"/>
      <c r="H58" s="30"/>
      <c r="I58" s="30">
        <f t="shared" si="20"/>
        <v>0</v>
      </c>
      <c r="J58" s="20">
        <f t="shared" si="21"/>
        <v>0</v>
      </c>
      <c r="N58" s="299"/>
      <c r="O58" s="299"/>
    </row>
    <row r="59" spans="2:15">
      <c r="B59" s="15" t="s">
        <v>395</v>
      </c>
      <c r="C59" s="33" t="s">
        <v>198</v>
      </c>
      <c r="D59" s="29" t="s">
        <v>397</v>
      </c>
      <c r="E59" s="33" t="s">
        <v>164</v>
      </c>
      <c r="F59" s="18">
        <f>F58*0.05</f>
        <v>0.2</v>
      </c>
      <c r="G59" s="30"/>
      <c r="H59" s="30"/>
      <c r="I59" s="30">
        <f t="shared" si="20"/>
        <v>0</v>
      </c>
      <c r="J59" s="20">
        <f t="shared" si="21"/>
        <v>0</v>
      </c>
      <c r="N59" s="299"/>
      <c r="O59" s="299"/>
    </row>
    <row r="60" spans="2:15">
      <c r="B60" s="35"/>
      <c r="C60" s="227"/>
      <c r="D60" s="44"/>
      <c r="E60" s="45"/>
      <c r="F60" s="46"/>
      <c r="G60" s="47"/>
      <c r="H60" s="47"/>
      <c r="I60" s="44"/>
      <c r="J60" s="20"/>
      <c r="N60" s="299"/>
      <c r="O60" s="299"/>
    </row>
    <row r="61" spans="2:15" ht="15" customHeight="1">
      <c r="B61" s="26">
        <v>5</v>
      </c>
      <c r="C61" s="293" t="s">
        <v>544</v>
      </c>
      <c r="D61" s="293"/>
      <c r="E61" s="36"/>
      <c r="F61" s="28"/>
      <c r="G61" s="28"/>
      <c r="H61" s="28"/>
      <c r="I61" s="232"/>
      <c r="J61" s="212">
        <f>SUM(J62:J78)</f>
        <v>0</v>
      </c>
      <c r="N61" s="299"/>
      <c r="O61" s="299"/>
    </row>
    <row r="62" spans="2:15">
      <c r="B62" s="15" t="s">
        <v>90</v>
      </c>
      <c r="C62" s="230" t="s">
        <v>545</v>
      </c>
      <c r="D62" s="29" t="s">
        <v>546</v>
      </c>
      <c r="E62" s="33" t="s">
        <v>41</v>
      </c>
      <c r="F62" s="18">
        <v>6</v>
      </c>
      <c r="G62" s="30"/>
      <c r="H62" s="30"/>
      <c r="I62" s="30">
        <f>H62+G62</f>
        <v>0</v>
      </c>
      <c r="J62" s="20">
        <f>I62*F62</f>
        <v>0</v>
      </c>
      <c r="N62" s="299"/>
      <c r="O62" s="299"/>
    </row>
    <row r="63" spans="2:15" ht="28.5">
      <c r="B63" s="15" t="s">
        <v>230</v>
      </c>
      <c r="C63" s="33" t="s">
        <v>547</v>
      </c>
      <c r="D63" s="29" t="s">
        <v>548</v>
      </c>
      <c r="E63" s="33" t="s">
        <v>34</v>
      </c>
      <c r="F63" s="18">
        <v>3</v>
      </c>
      <c r="G63" s="30"/>
      <c r="H63" s="30"/>
      <c r="I63" s="30">
        <f t="shared" ref="I63:I78" si="22">H63+G63</f>
        <v>0</v>
      </c>
      <c r="J63" s="20">
        <f t="shared" ref="J63:J78" si="23">I63*F63</f>
        <v>0</v>
      </c>
      <c r="M63" s="234" t="s">
        <v>573</v>
      </c>
      <c r="N63" s="299"/>
      <c r="O63" s="299"/>
    </row>
    <row r="64" spans="2:15" ht="28.5">
      <c r="B64" s="15" t="s">
        <v>232</v>
      </c>
      <c r="C64" s="235" t="s">
        <v>574</v>
      </c>
      <c r="D64" s="236" t="s">
        <v>575</v>
      </c>
      <c r="E64" s="33" t="s">
        <v>34</v>
      </c>
      <c r="F64" s="18">
        <v>3</v>
      </c>
      <c r="G64" s="30"/>
      <c r="H64" s="30"/>
      <c r="I64" s="30">
        <f t="shared" si="22"/>
        <v>0</v>
      </c>
      <c r="J64" s="20">
        <f t="shared" si="23"/>
        <v>0</v>
      </c>
      <c r="M64" s="234" t="s">
        <v>578</v>
      </c>
      <c r="N64" s="299"/>
      <c r="O64" s="299"/>
    </row>
    <row r="65" spans="2:15">
      <c r="B65" s="15" t="s">
        <v>295</v>
      </c>
      <c r="C65" s="33" t="s">
        <v>576</v>
      </c>
      <c r="D65" s="29" t="s">
        <v>577</v>
      </c>
      <c r="E65" s="33" t="s">
        <v>34</v>
      </c>
      <c r="F65" s="18">
        <v>3</v>
      </c>
      <c r="G65" s="30"/>
      <c r="H65" s="30"/>
      <c r="I65" s="30">
        <f t="shared" si="22"/>
        <v>0</v>
      </c>
      <c r="J65" s="20">
        <f t="shared" si="23"/>
        <v>0</v>
      </c>
      <c r="N65" s="299"/>
      <c r="O65" s="299"/>
    </row>
    <row r="66" spans="2:15">
      <c r="B66" s="15" t="s">
        <v>523</v>
      </c>
      <c r="C66" s="33" t="s">
        <v>552</v>
      </c>
      <c r="D66" s="29" t="s">
        <v>553</v>
      </c>
      <c r="E66" s="33" t="s">
        <v>34</v>
      </c>
      <c r="F66" s="18">
        <v>5</v>
      </c>
      <c r="G66" s="30"/>
      <c r="H66" s="30"/>
      <c r="I66" s="30">
        <f t="shared" si="22"/>
        <v>0</v>
      </c>
      <c r="J66" s="20">
        <f t="shared" si="23"/>
        <v>0</v>
      </c>
      <c r="M66" s="234" t="s">
        <v>571</v>
      </c>
      <c r="N66" s="299"/>
      <c r="O66" s="299"/>
    </row>
    <row r="67" spans="2:15" ht="28.5">
      <c r="B67" s="15" t="s">
        <v>524</v>
      </c>
      <c r="C67" s="33" t="s">
        <v>554</v>
      </c>
      <c r="D67" s="29" t="s">
        <v>555</v>
      </c>
      <c r="E67" s="33" t="s">
        <v>34</v>
      </c>
      <c r="F67" s="18">
        <f>ROUNDUP((157-36)/2,0)</f>
        <v>61</v>
      </c>
      <c r="G67" s="30"/>
      <c r="H67" s="30"/>
      <c r="I67" s="30">
        <f t="shared" si="22"/>
        <v>0</v>
      </c>
      <c r="J67" s="20">
        <f t="shared" si="23"/>
        <v>0</v>
      </c>
      <c r="M67" s="234">
        <v>68.760000000000005</v>
      </c>
      <c r="N67" s="299"/>
      <c r="O67" s="299"/>
    </row>
    <row r="68" spans="2:15" ht="28.5">
      <c r="B68" s="15" t="s">
        <v>525</v>
      </c>
      <c r="C68" s="33" t="s">
        <v>556</v>
      </c>
      <c r="D68" s="29" t="s">
        <v>557</v>
      </c>
      <c r="E68" s="33" t="s">
        <v>34</v>
      </c>
      <c r="F68" s="18">
        <v>1</v>
      </c>
      <c r="G68" s="30"/>
      <c r="H68" s="30"/>
      <c r="I68" s="30">
        <f t="shared" si="22"/>
        <v>0</v>
      </c>
      <c r="J68" s="20">
        <f t="shared" si="23"/>
        <v>0</v>
      </c>
      <c r="M68" s="10"/>
      <c r="N68" s="299"/>
      <c r="O68" s="299"/>
    </row>
    <row r="69" spans="2:15" ht="15" customHeight="1">
      <c r="B69" s="15" t="s">
        <v>526</v>
      </c>
      <c r="C69" s="33" t="s">
        <v>144</v>
      </c>
      <c r="D69" s="29" t="s">
        <v>558</v>
      </c>
      <c r="E69" s="33" t="s">
        <v>41</v>
      </c>
      <c r="F69" s="18">
        <v>15</v>
      </c>
      <c r="G69" s="30"/>
      <c r="H69" s="30"/>
      <c r="I69" s="30"/>
      <c r="J69" s="20">
        <f t="shared" si="23"/>
        <v>0</v>
      </c>
      <c r="M69" s="234" t="s">
        <v>572</v>
      </c>
      <c r="N69" s="299"/>
      <c r="O69" s="299"/>
    </row>
    <row r="70" spans="2:15">
      <c r="B70" s="15" t="s">
        <v>527</v>
      </c>
      <c r="C70" s="33" t="s">
        <v>559</v>
      </c>
      <c r="D70" s="29" t="s">
        <v>560</v>
      </c>
      <c r="E70" s="33" t="s">
        <v>34</v>
      </c>
      <c r="F70" s="18">
        <v>10</v>
      </c>
      <c r="G70" s="30"/>
      <c r="H70" s="30"/>
      <c r="I70" s="30">
        <f t="shared" ref="I70" si="24">H70+G70</f>
        <v>0</v>
      </c>
      <c r="J70" s="20">
        <f t="shared" si="23"/>
        <v>0</v>
      </c>
      <c r="M70" s="234">
        <f>ROUNDUP(M67/15,0)</f>
        <v>5</v>
      </c>
      <c r="N70" s="299"/>
      <c r="O70" s="299"/>
    </row>
    <row r="71" spans="2:15" ht="28.5">
      <c r="B71" s="15" t="s">
        <v>528</v>
      </c>
      <c r="C71" s="33" t="s">
        <v>284</v>
      </c>
      <c r="D71" s="29" t="s">
        <v>285</v>
      </c>
      <c r="E71" s="33" t="s">
        <v>34</v>
      </c>
      <c r="F71" s="18">
        <v>5</v>
      </c>
      <c r="G71" s="30"/>
      <c r="H71" s="30"/>
      <c r="I71" s="30">
        <f t="shared" si="22"/>
        <v>0</v>
      </c>
      <c r="J71" s="20">
        <f t="shared" si="23"/>
        <v>0</v>
      </c>
      <c r="N71" s="299"/>
      <c r="O71" s="299"/>
    </row>
    <row r="72" spans="2:15">
      <c r="B72" s="15" t="s">
        <v>529</v>
      </c>
      <c r="C72" s="33" t="s">
        <v>286</v>
      </c>
      <c r="D72" s="29" t="s">
        <v>287</v>
      </c>
      <c r="E72" s="33" t="s">
        <v>34</v>
      </c>
      <c r="F72" s="18">
        <v>5</v>
      </c>
      <c r="G72" s="30"/>
      <c r="H72" s="30"/>
      <c r="I72" s="30">
        <f t="shared" si="22"/>
        <v>0</v>
      </c>
      <c r="J72" s="20">
        <f t="shared" si="23"/>
        <v>0</v>
      </c>
      <c r="N72" s="299"/>
      <c r="O72" s="299"/>
    </row>
    <row r="73" spans="2:15">
      <c r="B73" s="15" t="s">
        <v>530</v>
      </c>
      <c r="C73" s="33" t="s">
        <v>561</v>
      </c>
      <c r="D73" s="29" t="s">
        <v>562</v>
      </c>
      <c r="E73" s="33" t="s">
        <v>34</v>
      </c>
      <c r="F73" s="18">
        <v>5</v>
      </c>
      <c r="G73" s="30"/>
      <c r="H73" s="30"/>
      <c r="I73" s="30">
        <f t="shared" si="22"/>
        <v>0</v>
      </c>
      <c r="J73" s="20">
        <f t="shared" si="23"/>
        <v>0</v>
      </c>
      <c r="N73" s="299"/>
      <c r="O73" s="299"/>
    </row>
    <row r="74" spans="2:15">
      <c r="B74" s="15" t="s">
        <v>531</v>
      </c>
      <c r="C74" s="33" t="s">
        <v>390</v>
      </c>
      <c r="D74" s="29" t="s">
        <v>391</v>
      </c>
      <c r="E74" s="33" t="s">
        <v>41</v>
      </c>
      <c r="F74" s="18">
        <f>(143.2)*1.1</f>
        <v>157.52000000000001</v>
      </c>
      <c r="G74" s="30"/>
      <c r="H74" s="30"/>
      <c r="I74" s="30">
        <f t="shared" ref="I74" si="25">H74+G74</f>
        <v>0</v>
      </c>
      <c r="J74" s="20">
        <f t="shared" ref="J74" si="26">I74*F74</f>
        <v>0</v>
      </c>
      <c r="N74" s="299"/>
      <c r="O74" s="299"/>
    </row>
    <row r="75" spans="2:15">
      <c r="B75" s="15" t="s">
        <v>532</v>
      </c>
      <c r="C75" s="33" t="s">
        <v>563</v>
      </c>
      <c r="D75" s="29" t="s">
        <v>564</v>
      </c>
      <c r="E75" s="33" t="s">
        <v>41</v>
      </c>
      <c r="F75" s="18">
        <v>75</v>
      </c>
      <c r="G75" s="30"/>
      <c r="H75" s="30"/>
      <c r="I75" s="30">
        <f t="shared" si="22"/>
        <v>0</v>
      </c>
      <c r="J75" s="20">
        <f t="shared" si="23"/>
        <v>0</v>
      </c>
      <c r="N75" s="299"/>
      <c r="O75" s="299"/>
    </row>
    <row r="76" spans="2:15" ht="28.5">
      <c r="B76" s="15" t="s">
        <v>533</v>
      </c>
      <c r="C76" s="33" t="s">
        <v>565</v>
      </c>
      <c r="D76" s="29" t="s">
        <v>566</v>
      </c>
      <c r="E76" s="33" t="s">
        <v>34</v>
      </c>
      <c r="F76" s="18">
        <v>5</v>
      </c>
      <c r="G76" s="30"/>
      <c r="H76" s="30"/>
      <c r="I76" s="30">
        <f t="shared" si="22"/>
        <v>0</v>
      </c>
      <c r="J76" s="20">
        <f t="shared" si="23"/>
        <v>0</v>
      </c>
      <c r="N76" s="299"/>
      <c r="O76" s="299"/>
    </row>
    <row r="77" spans="2:15">
      <c r="B77" s="15" t="s">
        <v>534</v>
      </c>
      <c r="C77" s="33" t="s">
        <v>567</v>
      </c>
      <c r="D77" s="29" t="s">
        <v>568</v>
      </c>
      <c r="E77" s="33" t="s">
        <v>253</v>
      </c>
      <c r="F77" s="18">
        <f>75*0.5*0.5</f>
        <v>18.75</v>
      </c>
      <c r="G77" s="30">
        <v>0</v>
      </c>
      <c r="H77" s="30"/>
      <c r="I77" s="30">
        <f t="shared" si="22"/>
        <v>0</v>
      </c>
      <c r="J77" s="20">
        <f t="shared" si="23"/>
        <v>0</v>
      </c>
      <c r="N77" s="299"/>
      <c r="O77" s="299"/>
    </row>
    <row r="78" spans="2:15">
      <c r="B78" s="15" t="s">
        <v>535</v>
      </c>
      <c r="C78" s="33" t="s">
        <v>569</v>
      </c>
      <c r="D78" s="29" t="s">
        <v>570</v>
      </c>
      <c r="E78" s="33" t="s">
        <v>253</v>
      </c>
      <c r="F78" s="18">
        <f>75*0.5*0.5</f>
        <v>18.75</v>
      </c>
      <c r="G78" s="30">
        <v>0</v>
      </c>
      <c r="H78" s="30"/>
      <c r="I78" s="30">
        <f t="shared" si="22"/>
        <v>0</v>
      </c>
      <c r="J78" s="20">
        <f t="shared" si="23"/>
        <v>0</v>
      </c>
    </row>
    <row r="79" spans="2:15">
      <c r="B79" s="35"/>
      <c r="C79" s="11"/>
      <c r="D79" s="298"/>
      <c r="E79" s="298"/>
      <c r="F79" s="298"/>
      <c r="G79" s="298"/>
      <c r="H79" s="231"/>
      <c r="I79" s="294"/>
      <c r="J79" s="295"/>
    </row>
    <row r="80" spans="2:15" ht="15">
      <c r="B80" s="26">
        <v>6</v>
      </c>
      <c r="C80" s="296" t="s">
        <v>362</v>
      </c>
      <c r="D80" s="297"/>
      <c r="E80" s="228"/>
      <c r="F80" s="229"/>
      <c r="G80" s="228"/>
      <c r="H80" s="28"/>
      <c r="I80" s="28"/>
      <c r="J80" s="212">
        <f>SUM(J81:J97)</f>
        <v>0</v>
      </c>
    </row>
    <row r="81" spans="2:10">
      <c r="B81" s="15" t="s">
        <v>90</v>
      </c>
      <c r="C81" s="33" t="s">
        <v>381</v>
      </c>
      <c r="D81" s="29" t="s">
        <v>382</v>
      </c>
      <c r="E81" s="33" t="s">
        <v>34</v>
      </c>
      <c r="F81" s="18">
        <v>1</v>
      </c>
      <c r="G81" s="30"/>
      <c r="H81" s="30"/>
      <c r="I81" s="30">
        <f t="shared" ref="I81" si="27">G81+H81</f>
        <v>0</v>
      </c>
      <c r="J81" s="20">
        <f t="shared" ref="J81" si="28">I81*F81</f>
        <v>0</v>
      </c>
    </row>
    <row r="82" spans="2:10">
      <c r="B82" s="15" t="s">
        <v>100</v>
      </c>
      <c r="C82" s="33" t="s">
        <v>383</v>
      </c>
      <c r="D82" s="29" t="s">
        <v>384</v>
      </c>
      <c r="E82" s="33" t="s">
        <v>253</v>
      </c>
      <c r="F82" s="18">
        <v>0.45</v>
      </c>
      <c r="G82" s="30"/>
      <c r="H82" s="30"/>
      <c r="I82" s="30">
        <f t="shared" ref="I82:I89" si="29">G82+H82</f>
        <v>0</v>
      </c>
      <c r="J82" s="20">
        <f t="shared" ref="J82:J89" si="30">I82*F82</f>
        <v>0</v>
      </c>
    </row>
    <row r="83" spans="2:10">
      <c r="B83" s="15" t="s">
        <v>230</v>
      </c>
      <c r="C83" s="33" t="s">
        <v>385</v>
      </c>
      <c r="D83" s="29" t="s">
        <v>386</v>
      </c>
      <c r="E83" s="33" t="s">
        <v>253</v>
      </c>
      <c r="F83" s="18">
        <f>ROUNDUP(1.5*((3.1415*(0.6^2))/4),2)</f>
        <v>0.43</v>
      </c>
      <c r="G83" s="30"/>
      <c r="H83" s="30"/>
      <c r="I83" s="30">
        <f t="shared" si="29"/>
        <v>0</v>
      </c>
      <c r="J83" s="20">
        <f t="shared" si="30"/>
        <v>0</v>
      </c>
    </row>
    <row r="84" spans="2:10">
      <c r="B84" s="15" t="s">
        <v>232</v>
      </c>
      <c r="C84" s="33" t="s">
        <v>318</v>
      </c>
      <c r="D84" s="29" t="s">
        <v>387</v>
      </c>
      <c r="E84" s="33" t="s">
        <v>253</v>
      </c>
      <c r="F84" s="18">
        <f>F83</f>
        <v>0.43</v>
      </c>
      <c r="G84" s="30"/>
      <c r="H84" s="30"/>
      <c r="I84" s="30">
        <f t="shared" si="29"/>
        <v>0</v>
      </c>
      <c r="J84" s="20">
        <f t="shared" si="30"/>
        <v>0</v>
      </c>
    </row>
    <row r="85" spans="2:10" ht="28.5">
      <c r="B85" s="15" t="s">
        <v>294</v>
      </c>
      <c r="C85" s="33" t="s">
        <v>284</v>
      </c>
      <c r="D85" s="29" t="s">
        <v>285</v>
      </c>
      <c r="E85" s="33" t="s">
        <v>34</v>
      </c>
      <c r="F85" s="18">
        <v>1</v>
      </c>
      <c r="G85" s="30"/>
      <c r="H85" s="30"/>
      <c r="I85" s="30">
        <f t="shared" si="29"/>
        <v>0</v>
      </c>
      <c r="J85" s="20">
        <f t="shared" si="30"/>
        <v>0</v>
      </c>
    </row>
    <row r="86" spans="2:10">
      <c r="B86" s="15" t="s">
        <v>295</v>
      </c>
      <c r="C86" s="33" t="s">
        <v>286</v>
      </c>
      <c r="D86" s="29" t="s">
        <v>287</v>
      </c>
      <c r="E86" s="33" t="s">
        <v>34</v>
      </c>
      <c r="F86" s="18">
        <v>1</v>
      </c>
      <c r="G86" s="30"/>
      <c r="H86" s="30"/>
      <c r="I86" s="30">
        <f t="shared" ref="I86:I87" si="31">G86+H86</f>
        <v>0</v>
      </c>
      <c r="J86" s="20">
        <f t="shared" ref="J86:J87" si="32">I86*F86</f>
        <v>0</v>
      </c>
    </row>
    <row r="87" spans="2:10">
      <c r="B87" s="15" t="s">
        <v>296</v>
      </c>
      <c r="C87" s="33" t="s">
        <v>388</v>
      </c>
      <c r="D87" s="29" t="s">
        <v>389</v>
      </c>
      <c r="E87" s="33" t="s">
        <v>34</v>
      </c>
      <c r="F87" s="18">
        <v>1</v>
      </c>
      <c r="G87" s="30"/>
      <c r="H87" s="30"/>
      <c r="I87" s="30">
        <f t="shared" si="31"/>
        <v>0</v>
      </c>
      <c r="J87" s="20">
        <f t="shared" si="32"/>
        <v>0</v>
      </c>
    </row>
    <row r="88" spans="2:10">
      <c r="B88" s="15" t="s">
        <v>523</v>
      </c>
      <c r="C88" s="33" t="s">
        <v>288</v>
      </c>
      <c r="D88" s="29" t="s">
        <v>289</v>
      </c>
      <c r="E88" s="33" t="s">
        <v>34</v>
      </c>
      <c r="F88" s="18">
        <v>1</v>
      </c>
      <c r="G88" s="30"/>
      <c r="H88" s="30"/>
      <c r="I88" s="30">
        <f t="shared" si="29"/>
        <v>0</v>
      </c>
      <c r="J88" s="20">
        <f t="shared" si="30"/>
        <v>0</v>
      </c>
    </row>
    <row r="89" spans="2:10">
      <c r="B89" s="15" t="s">
        <v>524</v>
      </c>
      <c r="C89" s="33" t="s">
        <v>390</v>
      </c>
      <c r="D89" s="29" t="s">
        <v>391</v>
      </c>
      <c r="E89" s="33" t="s">
        <v>41</v>
      </c>
      <c r="F89" s="18">
        <v>6</v>
      </c>
      <c r="G89" s="30"/>
      <c r="H89" s="30"/>
      <c r="I89" s="30">
        <f t="shared" si="29"/>
        <v>0</v>
      </c>
      <c r="J89" s="20">
        <f t="shared" si="30"/>
        <v>0</v>
      </c>
    </row>
    <row r="90" spans="2:10" ht="42.75">
      <c r="B90" s="15" t="s">
        <v>525</v>
      </c>
      <c r="C90" s="33" t="s">
        <v>35</v>
      </c>
      <c r="D90" s="29" t="s">
        <v>463</v>
      </c>
      <c r="E90" s="33" t="s">
        <v>34</v>
      </c>
      <c r="F90" s="18">
        <v>1</v>
      </c>
      <c r="G90" s="30"/>
      <c r="H90" s="30"/>
      <c r="I90" s="30">
        <f t="shared" ref="I90:I97" si="33">G90+H90</f>
        <v>0</v>
      </c>
      <c r="J90" s="20">
        <f t="shared" ref="J90:J97" si="34">I90*F90</f>
        <v>0</v>
      </c>
    </row>
    <row r="91" spans="2:10">
      <c r="B91" s="15" t="s">
        <v>526</v>
      </c>
      <c r="C91" s="33" t="s">
        <v>458</v>
      </c>
      <c r="D91" s="29" t="s">
        <v>459</v>
      </c>
      <c r="E91" s="33" t="s">
        <v>164</v>
      </c>
      <c r="F91" s="18">
        <v>1</v>
      </c>
      <c r="G91" s="30"/>
      <c r="H91" s="30"/>
      <c r="I91" s="30">
        <f t="shared" ref="I91" si="35">G91+H91</f>
        <v>0</v>
      </c>
      <c r="J91" s="20">
        <f t="shared" ref="J91" si="36">I91*F91</f>
        <v>0</v>
      </c>
    </row>
    <row r="92" spans="2:10">
      <c r="B92" s="15" t="s">
        <v>527</v>
      </c>
      <c r="C92" s="33" t="s">
        <v>300</v>
      </c>
      <c r="D92" s="29" t="s">
        <v>461</v>
      </c>
      <c r="E92" s="33" t="s">
        <v>164</v>
      </c>
      <c r="F92" s="18">
        <v>1</v>
      </c>
      <c r="G92" s="30"/>
      <c r="H92" s="30"/>
      <c r="I92" s="30">
        <f t="shared" ref="I92:I96" si="37">G92+H92</f>
        <v>0</v>
      </c>
      <c r="J92" s="20">
        <f t="shared" ref="J92:J96" si="38">I92*F92</f>
        <v>0</v>
      </c>
    </row>
    <row r="93" spans="2:10">
      <c r="B93" s="15" t="s">
        <v>528</v>
      </c>
      <c r="C93" s="33" t="s">
        <v>460</v>
      </c>
      <c r="D93" s="29" t="s">
        <v>462</v>
      </c>
      <c r="E93" s="33" t="s">
        <v>164</v>
      </c>
      <c r="F93" s="18">
        <v>1</v>
      </c>
      <c r="G93" s="30"/>
      <c r="H93" s="30"/>
      <c r="I93" s="30">
        <f t="shared" si="37"/>
        <v>0</v>
      </c>
      <c r="J93" s="20">
        <f t="shared" si="38"/>
        <v>0</v>
      </c>
    </row>
    <row r="94" spans="2:10">
      <c r="B94" s="15" t="s">
        <v>529</v>
      </c>
      <c r="C94" s="33" t="s">
        <v>197</v>
      </c>
      <c r="D94" s="29" t="s">
        <v>453</v>
      </c>
      <c r="E94" s="33" t="s">
        <v>164</v>
      </c>
      <c r="F94" s="18">
        <v>0.5</v>
      </c>
      <c r="G94" s="30"/>
      <c r="H94" s="30"/>
      <c r="I94" s="30">
        <f t="shared" si="37"/>
        <v>0</v>
      </c>
      <c r="J94" s="20">
        <f t="shared" si="38"/>
        <v>0</v>
      </c>
    </row>
    <row r="95" spans="2:10">
      <c r="B95" s="15" t="s">
        <v>530</v>
      </c>
      <c r="C95" s="33" t="s">
        <v>454</v>
      </c>
      <c r="D95" s="29" t="s">
        <v>455</v>
      </c>
      <c r="E95" s="33" t="s">
        <v>41</v>
      </c>
      <c r="F95" s="18">
        <f>35*4</f>
        <v>140</v>
      </c>
      <c r="G95" s="30"/>
      <c r="H95" s="30"/>
      <c r="I95" s="30">
        <f t="shared" si="37"/>
        <v>0</v>
      </c>
      <c r="J95" s="20">
        <f t="shared" si="38"/>
        <v>0</v>
      </c>
    </row>
    <row r="96" spans="2:10">
      <c r="B96" s="15" t="s">
        <v>531</v>
      </c>
      <c r="C96" s="33" t="s">
        <v>456</v>
      </c>
      <c r="D96" s="29" t="s">
        <v>457</v>
      </c>
      <c r="E96" s="33" t="s">
        <v>34</v>
      </c>
      <c r="F96" s="18">
        <v>2</v>
      </c>
      <c r="G96" s="30">
        <v>0</v>
      </c>
      <c r="H96" s="30"/>
      <c r="I96" s="30">
        <f t="shared" si="37"/>
        <v>0</v>
      </c>
      <c r="J96" s="20">
        <f t="shared" si="38"/>
        <v>0</v>
      </c>
    </row>
    <row r="97" spans="2:12">
      <c r="B97" s="15" t="s">
        <v>532</v>
      </c>
      <c r="C97" s="33"/>
      <c r="D97" s="29"/>
      <c r="E97" s="33"/>
      <c r="F97" s="18"/>
      <c r="G97" s="30"/>
      <c r="H97" s="30"/>
      <c r="I97" s="30">
        <f t="shared" si="33"/>
        <v>0</v>
      </c>
      <c r="J97" s="20">
        <f t="shared" si="34"/>
        <v>0</v>
      </c>
    </row>
    <row r="98" spans="2:12">
      <c r="B98" s="35"/>
      <c r="C98" s="87"/>
      <c r="D98" s="87"/>
      <c r="E98" s="107"/>
      <c r="F98" s="108"/>
      <c r="G98" s="102"/>
      <c r="H98" s="102"/>
      <c r="I98" s="102"/>
      <c r="J98" s="86"/>
    </row>
    <row r="99" spans="2:12" ht="15">
      <c r="B99" s="285" t="s">
        <v>6</v>
      </c>
      <c r="C99" s="285"/>
      <c r="D99" s="285"/>
      <c r="E99" s="285"/>
      <c r="F99" s="285"/>
      <c r="G99" s="285"/>
      <c r="H99" s="285"/>
      <c r="I99" s="285"/>
      <c r="J99" s="21">
        <f>J80+J61+J50+J30+J15+J8</f>
        <v>0</v>
      </c>
    </row>
    <row r="100" spans="2:12" ht="15">
      <c r="B100" s="264" t="str">
        <f>CONCATENATE("Adm Local (",'calculo BDI'!$C$36*100,"%)")</f>
        <v>Adm Local (3,49%)</v>
      </c>
      <c r="C100" s="265"/>
      <c r="D100" s="265"/>
      <c r="E100" s="265"/>
      <c r="F100" s="265"/>
      <c r="G100" s="265"/>
      <c r="H100" s="265"/>
      <c r="I100" s="266"/>
      <c r="J100" s="238">
        <f>J99*'calculo BDI'!$C$36</f>
        <v>0</v>
      </c>
    </row>
    <row r="101" spans="2:12" ht="15" customHeight="1">
      <c r="B101" s="264" t="str">
        <f>CONCATENATE("BDI (",'calculo BDI'!$C$26*100,"%)")</f>
        <v>BDI (19,5%)</v>
      </c>
      <c r="C101" s="265"/>
      <c r="D101" s="265"/>
      <c r="E101" s="265"/>
      <c r="F101" s="265"/>
      <c r="G101" s="265"/>
      <c r="H101" s="265"/>
      <c r="I101" s="266"/>
      <c r="J101" s="131">
        <f>(J99+J100)*'calculo BDI'!$C$26</f>
        <v>0</v>
      </c>
    </row>
    <row r="102" spans="2:12" ht="15" customHeight="1" thickBot="1">
      <c r="B102" s="267" t="s">
        <v>7</v>
      </c>
      <c r="C102" s="268"/>
      <c r="D102" s="268"/>
      <c r="E102" s="268"/>
      <c r="F102" s="268"/>
      <c r="G102" s="268"/>
      <c r="H102" s="268"/>
      <c r="I102" s="269"/>
      <c r="J102" s="132">
        <f>SUM(J99:J101)</f>
        <v>0</v>
      </c>
      <c r="K102" s="22"/>
    </row>
    <row r="103" spans="2:12" ht="15" customHeight="1">
      <c r="L103" s="163"/>
    </row>
  </sheetData>
  <mergeCells count="22">
    <mergeCell ref="B100:I100"/>
    <mergeCell ref="N57:O77"/>
    <mergeCell ref="J6:J7"/>
    <mergeCell ref="C15:D15"/>
    <mergeCell ref="C30:D30"/>
    <mergeCell ref="C8:D8"/>
    <mergeCell ref="B102:I102"/>
    <mergeCell ref="B99:I99"/>
    <mergeCell ref="B101:I101"/>
    <mergeCell ref="B6:B7"/>
    <mergeCell ref="C6:C7"/>
    <mergeCell ref="D6:D7"/>
    <mergeCell ref="E6:E7"/>
    <mergeCell ref="F6:F7"/>
    <mergeCell ref="G6:G7"/>
    <mergeCell ref="H6:H7"/>
    <mergeCell ref="I6:I7"/>
    <mergeCell ref="C50:D50"/>
    <mergeCell ref="I79:J79"/>
    <mergeCell ref="C80:D80"/>
    <mergeCell ref="C61:D61"/>
    <mergeCell ref="D79:G79"/>
  </mergeCells>
  <printOptions horizontalCentered="1"/>
  <pageMargins left="0.51181102362204722" right="0.51181102362204722" top="0.78740157480314965" bottom="1.0608333333333333" header="0.31496062992125984" footer="0.31496062992125984"/>
  <pageSetup paperSize="9" scale="73" fitToHeight="0" orientation="landscape" r:id="rId1"/>
  <headerFooter>
    <oddHeader>&amp;C&amp;"Ecofont Vera Sans,Negrito"&amp;11Escritório Regional Ubatuba&amp;RPlanilha Orçamentária
CPOS 175 - Março/2019</oddHeader>
    <oddFooter>&amp;L&amp;"Verdana,Negrito"&amp;8Fundação Florestal&amp;"Verdana,Normal" | Av. Prof. Frederico Hermann Jr 345 | CEP 05459-010
São Paulo, SP | Fone (11) 2997-5000 | www.fflorestal.sp.gov.br
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L65"/>
  <sheetViews>
    <sheetView showGridLines="0" topLeftCell="A46" zoomScale="75" zoomScaleNormal="75" workbookViewId="0">
      <selection activeCell="J62" sqref="J62:J65"/>
    </sheetView>
  </sheetViews>
  <sheetFormatPr defaultRowHeight="14.25"/>
  <cols>
    <col min="1" max="1" width="3.5703125" style="14" customWidth="1"/>
    <col min="2" max="2" width="7.42578125" style="23" customWidth="1"/>
    <col min="3" max="3" width="15.85546875" style="23" customWidth="1"/>
    <col min="4" max="4" width="72.7109375" style="24" customWidth="1"/>
    <col min="5" max="5" width="5.7109375" style="23" bestFit="1" customWidth="1"/>
    <col min="6" max="6" width="12.140625" style="25" bestFit="1" customWidth="1"/>
    <col min="7" max="8" width="14" style="25" bestFit="1" customWidth="1"/>
    <col min="9" max="9" width="13.7109375" style="25" bestFit="1" customWidth="1"/>
    <col min="10" max="10" width="17.5703125" style="25" bestFit="1" customWidth="1"/>
    <col min="11" max="11" width="3.5703125" style="14" customWidth="1"/>
    <col min="12" max="12" width="9.7109375" style="14" bestFit="1" customWidth="1"/>
    <col min="13" max="16384" width="9.140625" style="14"/>
  </cols>
  <sheetData>
    <row r="5" spans="2:10" ht="15" thickBot="1"/>
    <row r="6" spans="2:10" s="10" customFormat="1">
      <c r="B6" s="277" t="s">
        <v>2</v>
      </c>
      <c r="C6" s="279" t="s">
        <v>10</v>
      </c>
      <c r="D6" s="281" t="s">
        <v>3</v>
      </c>
      <c r="E6" s="283" t="s">
        <v>4</v>
      </c>
      <c r="F6" s="272" t="s">
        <v>5</v>
      </c>
      <c r="G6" s="270" t="s">
        <v>11</v>
      </c>
      <c r="H6" s="270" t="s">
        <v>8</v>
      </c>
      <c r="I6" s="272" t="s">
        <v>9</v>
      </c>
      <c r="J6" s="274" t="s">
        <v>6</v>
      </c>
    </row>
    <row r="7" spans="2:10" s="11" customFormat="1">
      <c r="B7" s="278"/>
      <c r="C7" s="280"/>
      <c r="D7" s="282"/>
      <c r="E7" s="284"/>
      <c r="F7" s="273"/>
      <c r="G7" s="271"/>
      <c r="H7" s="271"/>
      <c r="I7" s="273"/>
      <c r="J7" s="275"/>
    </row>
    <row r="8" spans="2:10" s="239" customFormat="1" ht="15">
      <c r="B8" s="118">
        <v>1</v>
      </c>
      <c r="C8" s="276" t="s">
        <v>595</v>
      </c>
      <c r="D8" s="276"/>
      <c r="E8" s="12"/>
      <c r="F8" s="13"/>
      <c r="G8" s="13"/>
      <c r="H8" s="13"/>
      <c r="I8" s="13"/>
      <c r="J8" s="119">
        <f>SUM(J9:J14)</f>
        <v>297.2</v>
      </c>
    </row>
    <row r="9" spans="2:10" s="239" customFormat="1">
      <c r="B9" s="140" t="s">
        <v>19</v>
      </c>
      <c r="C9" s="139" t="s">
        <v>538</v>
      </c>
      <c r="D9" s="113" t="s">
        <v>539</v>
      </c>
      <c r="E9" s="17" t="s">
        <v>34</v>
      </c>
      <c r="F9" s="110">
        <v>19</v>
      </c>
      <c r="G9" s="116">
        <v>0</v>
      </c>
      <c r="H9" s="116"/>
      <c r="I9" s="117">
        <f>G9+H9</f>
        <v>0</v>
      </c>
      <c r="J9" s="121">
        <f>I9*F9</f>
        <v>0</v>
      </c>
    </row>
    <row r="10" spans="2:10" s="239" customFormat="1">
      <c r="B10" s="140" t="s">
        <v>31</v>
      </c>
      <c r="C10" s="139" t="s">
        <v>540</v>
      </c>
      <c r="D10" s="113" t="s">
        <v>541</v>
      </c>
      <c r="E10" s="17" t="s">
        <v>41</v>
      </c>
      <c r="F10" s="110">
        <v>100</v>
      </c>
      <c r="G10" s="116">
        <v>0</v>
      </c>
      <c r="H10" s="116"/>
      <c r="I10" s="117">
        <f t="shared" ref="I10:I14" si="0">G10+H10</f>
        <v>0</v>
      </c>
      <c r="J10" s="121">
        <f t="shared" ref="J10:J14" si="1">I10*F10</f>
        <v>0</v>
      </c>
    </row>
    <row r="11" spans="2:10" s="239" customFormat="1">
      <c r="B11" s="140" t="s">
        <v>32</v>
      </c>
      <c r="C11" s="139" t="s">
        <v>542</v>
      </c>
      <c r="D11" s="113" t="s">
        <v>543</v>
      </c>
      <c r="E11" s="33" t="s">
        <v>34</v>
      </c>
      <c r="F11" s="110">
        <v>19</v>
      </c>
      <c r="G11" s="116">
        <v>0</v>
      </c>
      <c r="H11" s="116"/>
      <c r="I11" s="117">
        <f t="shared" si="0"/>
        <v>0</v>
      </c>
      <c r="J11" s="121">
        <f t="shared" si="1"/>
        <v>0</v>
      </c>
    </row>
    <row r="12" spans="2:10" s="239" customFormat="1">
      <c r="B12" s="140" t="s">
        <v>45</v>
      </c>
      <c r="C12" s="139" t="s">
        <v>512</v>
      </c>
      <c r="D12" s="113" t="s">
        <v>513</v>
      </c>
      <c r="E12" s="33" t="s">
        <v>1</v>
      </c>
      <c r="F12" s="110">
        <v>0.1</v>
      </c>
      <c r="G12" s="116">
        <v>0</v>
      </c>
      <c r="H12" s="116"/>
      <c r="I12" s="117">
        <f t="shared" si="0"/>
        <v>0</v>
      </c>
      <c r="J12" s="121">
        <f t="shared" si="1"/>
        <v>0</v>
      </c>
    </row>
    <row r="13" spans="2:10" s="239" customFormat="1" ht="15" customHeight="1">
      <c r="B13" s="140" t="s">
        <v>46</v>
      </c>
      <c r="C13" s="139" t="s">
        <v>347</v>
      </c>
      <c r="D13" s="113" t="s">
        <v>596</v>
      </c>
      <c r="E13" s="33" t="s">
        <v>164</v>
      </c>
      <c r="F13" s="110">
        <v>20</v>
      </c>
      <c r="G13" s="116">
        <v>0</v>
      </c>
      <c r="H13" s="116"/>
      <c r="I13" s="117">
        <v>14.86</v>
      </c>
      <c r="J13" s="121">
        <f t="shared" si="1"/>
        <v>297.2</v>
      </c>
    </row>
    <row r="14" spans="2:10" s="239" customFormat="1">
      <c r="B14" s="140"/>
      <c r="C14" s="139"/>
      <c r="D14" s="114"/>
      <c r="E14" s="49"/>
      <c r="F14" s="112"/>
      <c r="G14" s="116"/>
      <c r="H14" s="116"/>
      <c r="I14" s="117">
        <f t="shared" si="0"/>
        <v>0</v>
      </c>
      <c r="J14" s="121">
        <f t="shared" si="1"/>
        <v>0</v>
      </c>
    </row>
    <row r="15" spans="2:10" s="11" customFormat="1" ht="15">
      <c r="B15" s="118">
        <v>2</v>
      </c>
      <c r="C15" s="276" t="s">
        <v>20</v>
      </c>
      <c r="D15" s="276"/>
      <c r="E15" s="12"/>
      <c r="F15" s="13"/>
      <c r="G15" s="13"/>
      <c r="H15" s="13"/>
      <c r="I15" s="13"/>
      <c r="J15" s="119">
        <f>SUM(J16:J23)</f>
        <v>0</v>
      </c>
    </row>
    <row r="16" spans="2:10" s="11" customFormat="1">
      <c r="B16" s="140" t="s">
        <v>21</v>
      </c>
      <c r="C16" s="139" t="s">
        <v>139</v>
      </c>
      <c r="D16" s="113" t="s">
        <v>65</v>
      </c>
      <c r="E16" s="17" t="s">
        <v>34</v>
      </c>
      <c r="F16" s="110">
        <v>1</v>
      </c>
      <c r="G16" s="116"/>
      <c r="H16" s="116"/>
      <c r="I16" s="117">
        <f>G16+H16</f>
        <v>0</v>
      </c>
      <c r="J16" s="121">
        <f>I16*F16</f>
        <v>0</v>
      </c>
    </row>
    <row r="17" spans="2:10">
      <c r="B17" s="140" t="s">
        <v>22</v>
      </c>
      <c r="C17" s="139" t="s">
        <v>140</v>
      </c>
      <c r="D17" s="113" t="s">
        <v>50</v>
      </c>
      <c r="E17" s="17" t="s">
        <v>44</v>
      </c>
      <c r="F17" s="110">
        <v>15</v>
      </c>
      <c r="G17" s="116"/>
      <c r="H17" s="116"/>
      <c r="I17" s="117">
        <f t="shared" ref="I17:I23" si="2">G17+H17</f>
        <v>0</v>
      </c>
      <c r="J17" s="121">
        <f t="shared" ref="J17:J23" si="3">I17*F17</f>
        <v>0</v>
      </c>
    </row>
    <row r="18" spans="2:10">
      <c r="B18" s="140" t="s">
        <v>23</v>
      </c>
      <c r="C18" s="139" t="s">
        <v>140</v>
      </c>
      <c r="D18" s="113" t="s">
        <v>49</v>
      </c>
      <c r="E18" s="33" t="s">
        <v>44</v>
      </c>
      <c r="F18" s="110">
        <v>4</v>
      </c>
      <c r="G18" s="116"/>
      <c r="H18" s="116"/>
      <c r="I18" s="117">
        <f t="shared" si="2"/>
        <v>0</v>
      </c>
      <c r="J18" s="121">
        <f t="shared" si="3"/>
        <v>0</v>
      </c>
    </row>
    <row r="19" spans="2:10">
      <c r="B19" s="140" t="s">
        <v>24</v>
      </c>
      <c r="C19" s="139" t="s">
        <v>141</v>
      </c>
      <c r="D19" s="113" t="s">
        <v>51</v>
      </c>
      <c r="E19" s="33" t="s">
        <v>41</v>
      </c>
      <c r="F19" s="110">
        <v>52</v>
      </c>
      <c r="G19" s="116"/>
      <c r="H19" s="116"/>
      <c r="I19" s="117">
        <f t="shared" si="2"/>
        <v>0</v>
      </c>
      <c r="J19" s="121">
        <f t="shared" si="3"/>
        <v>0</v>
      </c>
    </row>
    <row r="20" spans="2:10">
      <c r="B20" s="140" t="s">
        <v>25</v>
      </c>
      <c r="C20" s="139" t="s">
        <v>142</v>
      </c>
      <c r="D20" s="113" t="s">
        <v>52</v>
      </c>
      <c r="E20" s="33" t="s">
        <v>41</v>
      </c>
      <c r="F20" s="110">
        <v>35</v>
      </c>
      <c r="G20" s="116"/>
      <c r="H20" s="116"/>
      <c r="I20" s="117">
        <f t="shared" si="2"/>
        <v>0</v>
      </c>
      <c r="J20" s="121">
        <f t="shared" si="3"/>
        <v>0</v>
      </c>
    </row>
    <row r="21" spans="2:10">
      <c r="B21" s="140" t="s">
        <v>26</v>
      </c>
      <c r="C21" s="139" t="s">
        <v>143</v>
      </c>
      <c r="D21" s="113" t="s">
        <v>53</v>
      </c>
      <c r="E21" s="33" t="s">
        <v>41</v>
      </c>
      <c r="F21" s="110">
        <v>21</v>
      </c>
      <c r="G21" s="116"/>
      <c r="H21" s="116"/>
      <c r="I21" s="117">
        <f t="shared" si="2"/>
        <v>0</v>
      </c>
      <c r="J21" s="121">
        <f t="shared" si="3"/>
        <v>0</v>
      </c>
    </row>
    <row r="22" spans="2:10">
      <c r="B22" s="140" t="s">
        <v>27</v>
      </c>
      <c r="C22" s="139" t="s">
        <v>144</v>
      </c>
      <c r="D22" s="114" t="s">
        <v>54</v>
      </c>
      <c r="E22" s="49" t="s">
        <v>41</v>
      </c>
      <c r="F22" s="112">
        <v>10</v>
      </c>
      <c r="G22" s="116"/>
      <c r="H22" s="116"/>
      <c r="I22" s="117">
        <f t="shared" si="2"/>
        <v>0</v>
      </c>
      <c r="J22" s="121">
        <f t="shared" si="3"/>
        <v>0</v>
      </c>
    </row>
    <row r="23" spans="2:10">
      <c r="B23" s="140" t="s">
        <v>36</v>
      </c>
      <c r="C23" s="139" t="s">
        <v>145</v>
      </c>
      <c r="D23" s="115" t="s">
        <v>55</v>
      </c>
      <c r="E23" s="34" t="s">
        <v>34</v>
      </c>
      <c r="F23" s="110">
        <v>4</v>
      </c>
      <c r="G23" s="116"/>
      <c r="H23" s="116"/>
      <c r="I23" s="117">
        <f t="shared" si="2"/>
        <v>0</v>
      </c>
      <c r="J23" s="121">
        <f t="shared" si="3"/>
        <v>0</v>
      </c>
    </row>
    <row r="24" spans="2:10">
      <c r="B24" s="122"/>
      <c r="C24" s="51"/>
      <c r="D24" s="50"/>
      <c r="E24" s="51"/>
      <c r="F24" s="41"/>
      <c r="G24" s="52"/>
      <c r="H24" s="52"/>
      <c r="I24" s="52"/>
      <c r="J24" s="141"/>
    </row>
    <row r="25" spans="2:10" ht="15">
      <c r="B25" s="142">
        <v>3</v>
      </c>
      <c r="C25" s="302" t="s">
        <v>60</v>
      </c>
      <c r="D25" s="302"/>
      <c r="E25" s="27"/>
      <c r="F25" s="28"/>
      <c r="G25" s="28"/>
      <c r="H25" s="28"/>
      <c r="I25" s="28"/>
      <c r="J25" s="128">
        <f>SUM(J26:J40)</f>
        <v>0</v>
      </c>
    </row>
    <row r="26" spans="2:10">
      <c r="B26" s="143" t="s">
        <v>28</v>
      </c>
      <c r="C26" s="139" t="s">
        <v>146</v>
      </c>
      <c r="D26" s="29" t="s">
        <v>58</v>
      </c>
      <c r="E26" s="33" t="s">
        <v>41</v>
      </c>
      <c r="F26" s="110">
        <v>650</v>
      </c>
      <c r="G26" s="116"/>
      <c r="H26" s="116"/>
      <c r="I26" s="117">
        <f t="shared" ref="I26:I40" si="4">G26+H26</f>
        <v>0</v>
      </c>
      <c r="J26" s="121">
        <f t="shared" ref="J26:J40" si="5">I26*F26</f>
        <v>0</v>
      </c>
    </row>
    <row r="27" spans="2:10" ht="28.5">
      <c r="B27" s="143" t="s">
        <v>29</v>
      </c>
      <c r="C27" s="139" t="s">
        <v>147</v>
      </c>
      <c r="D27" s="29" t="s">
        <v>70</v>
      </c>
      <c r="E27" s="33" t="s">
        <v>41</v>
      </c>
      <c r="F27" s="110">
        <v>20</v>
      </c>
      <c r="G27" s="116"/>
      <c r="H27" s="116"/>
      <c r="I27" s="117">
        <f t="shared" si="4"/>
        <v>0</v>
      </c>
      <c r="J27" s="121">
        <f t="shared" si="5"/>
        <v>0</v>
      </c>
    </row>
    <row r="28" spans="2:10">
      <c r="B28" s="143" t="s">
        <v>30</v>
      </c>
      <c r="C28" s="139" t="s">
        <v>150</v>
      </c>
      <c r="D28" s="29" t="s">
        <v>56</v>
      </c>
      <c r="E28" s="33" t="s">
        <v>34</v>
      </c>
      <c r="F28" s="110">
        <v>1</v>
      </c>
      <c r="G28" s="116"/>
      <c r="H28" s="116"/>
      <c r="I28" s="117">
        <f t="shared" si="4"/>
        <v>0</v>
      </c>
      <c r="J28" s="121">
        <f t="shared" si="5"/>
        <v>0</v>
      </c>
    </row>
    <row r="29" spans="2:10">
      <c r="B29" s="143" t="s">
        <v>42</v>
      </c>
      <c r="C29" s="139" t="s">
        <v>151</v>
      </c>
      <c r="D29" s="29" t="s">
        <v>57</v>
      </c>
      <c r="E29" s="33" t="s">
        <v>34</v>
      </c>
      <c r="F29" s="110">
        <v>1</v>
      </c>
      <c r="G29" s="116"/>
      <c r="H29" s="116"/>
      <c r="I29" s="117">
        <f t="shared" si="4"/>
        <v>0</v>
      </c>
      <c r="J29" s="121">
        <f t="shared" si="5"/>
        <v>0</v>
      </c>
    </row>
    <row r="30" spans="2:10">
      <c r="B30" s="143" t="s">
        <v>43</v>
      </c>
      <c r="C30" s="139" t="s">
        <v>152</v>
      </c>
      <c r="D30" s="29" t="s">
        <v>64</v>
      </c>
      <c r="E30" s="33" t="s">
        <v>34</v>
      </c>
      <c r="F30" s="110">
        <v>2</v>
      </c>
      <c r="G30" s="116"/>
      <c r="H30" s="116"/>
      <c r="I30" s="117">
        <f t="shared" si="4"/>
        <v>0</v>
      </c>
      <c r="J30" s="121">
        <f t="shared" si="5"/>
        <v>0</v>
      </c>
    </row>
    <row r="31" spans="2:10">
      <c r="B31" s="143" t="s">
        <v>199</v>
      </c>
      <c r="C31" s="139" t="s">
        <v>155</v>
      </c>
      <c r="D31" s="29" t="s">
        <v>72</v>
      </c>
      <c r="E31" s="48" t="s">
        <v>34</v>
      </c>
      <c r="F31" s="110">
        <v>2</v>
      </c>
      <c r="G31" s="116"/>
      <c r="H31" s="116"/>
      <c r="I31" s="117">
        <f t="shared" si="4"/>
        <v>0</v>
      </c>
      <c r="J31" s="121">
        <f t="shared" si="5"/>
        <v>0</v>
      </c>
    </row>
    <row r="32" spans="2:10">
      <c r="B32" s="143" t="s">
        <v>200</v>
      </c>
      <c r="C32" s="139" t="s">
        <v>149</v>
      </c>
      <c r="D32" s="29" t="s">
        <v>59</v>
      </c>
      <c r="E32" s="34" t="s">
        <v>41</v>
      </c>
      <c r="F32" s="110">
        <v>100</v>
      </c>
      <c r="G32" s="116"/>
      <c r="H32" s="116"/>
      <c r="I32" s="117">
        <f t="shared" si="4"/>
        <v>0</v>
      </c>
      <c r="J32" s="121">
        <f t="shared" si="5"/>
        <v>0</v>
      </c>
    </row>
    <row r="33" spans="2:10">
      <c r="B33" s="143" t="s">
        <v>201</v>
      </c>
      <c r="C33" s="139" t="s">
        <v>154</v>
      </c>
      <c r="D33" s="29" t="s">
        <v>61</v>
      </c>
      <c r="E33" s="34" t="s">
        <v>44</v>
      </c>
      <c r="F33" s="110">
        <v>12</v>
      </c>
      <c r="G33" s="116"/>
      <c r="H33" s="116"/>
      <c r="I33" s="117">
        <f t="shared" si="4"/>
        <v>0</v>
      </c>
      <c r="J33" s="121">
        <f t="shared" si="5"/>
        <v>0</v>
      </c>
    </row>
    <row r="34" spans="2:10">
      <c r="B34" s="143" t="s">
        <v>210</v>
      </c>
      <c r="C34" s="139" t="s">
        <v>153</v>
      </c>
      <c r="D34" s="29" t="s">
        <v>62</v>
      </c>
      <c r="E34" s="34" t="s">
        <v>44</v>
      </c>
      <c r="F34" s="110">
        <v>12</v>
      </c>
      <c r="G34" s="116"/>
      <c r="H34" s="116"/>
      <c r="I34" s="117">
        <f t="shared" si="4"/>
        <v>0</v>
      </c>
      <c r="J34" s="121">
        <f t="shared" si="5"/>
        <v>0</v>
      </c>
    </row>
    <row r="35" spans="2:10">
      <c r="B35" s="143" t="s">
        <v>211</v>
      </c>
      <c r="C35" s="138" t="s">
        <v>35</v>
      </c>
      <c r="D35" s="29" t="s">
        <v>73</v>
      </c>
      <c r="E35" s="34" t="s">
        <v>34</v>
      </c>
      <c r="F35" s="110">
        <v>100</v>
      </c>
      <c r="G35" s="116"/>
      <c r="H35" s="116"/>
      <c r="I35" s="117">
        <f t="shared" si="4"/>
        <v>0</v>
      </c>
      <c r="J35" s="121">
        <f t="shared" si="5"/>
        <v>0</v>
      </c>
    </row>
    <row r="36" spans="2:10">
      <c r="B36" s="143" t="s">
        <v>515</v>
      </c>
      <c r="C36" s="138" t="s">
        <v>35</v>
      </c>
      <c r="D36" s="29" t="s">
        <v>74</v>
      </c>
      <c r="E36" s="34" t="s">
        <v>34</v>
      </c>
      <c r="F36" s="110">
        <v>100</v>
      </c>
      <c r="G36" s="116"/>
      <c r="H36" s="116"/>
      <c r="I36" s="117">
        <f t="shared" si="4"/>
        <v>0</v>
      </c>
      <c r="J36" s="121">
        <f t="shared" si="5"/>
        <v>0</v>
      </c>
    </row>
    <row r="37" spans="2:10" ht="28.5">
      <c r="B37" s="143" t="s">
        <v>516</v>
      </c>
      <c r="C37" s="139" t="s">
        <v>148</v>
      </c>
      <c r="D37" s="29" t="s">
        <v>69</v>
      </c>
      <c r="E37" s="34" t="s">
        <v>41</v>
      </c>
      <c r="F37" s="110">
        <v>2</v>
      </c>
      <c r="G37" s="116"/>
      <c r="H37" s="116"/>
      <c r="I37" s="117">
        <f t="shared" si="4"/>
        <v>0</v>
      </c>
      <c r="J37" s="121">
        <f t="shared" si="5"/>
        <v>0</v>
      </c>
    </row>
    <row r="38" spans="2:10">
      <c r="B38" s="143" t="s">
        <v>517</v>
      </c>
      <c r="C38" s="138" t="s">
        <v>35</v>
      </c>
      <c r="D38" s="29" t="s">
        <v>75</v>
      </c>
      <c r="E38" s="34" t="s">
        <v>34</v>
      </c>
      <c r="F38" s="110">
        <v>12</v>
      </c>
      <c r="G38" s="116"/>
      <c r="H38" s="116"/>
      <c r="I38" s="117">
        <f t="shared" si="4"/>
        <v>0</v>
      </c>
      <c r="J38" s="121">
        <f t="shared" si="5"/>
        <v>0</v>
      </c>
    </row>
    <row r="39" spans="2:10">
      <c r="B39" s="143" t="s">
        <v>518</v>
      </c>
      <c r="C39" s="138" t="s">
        <v>292</v>
      </c>
      <c r="D39" s="29" t="s">
        <v>293</v>
      </c>
      <c r="E39" s="34" t="s">
        <v>34</v>
      </c>
      <c r="F39" s="110">
        <v>2</v>
      </c>
      <c r="G39" s="116"/>
      <c r="H39" s="116"/>
      <c r="I39" s="117">
        <f t="shared" si="4"/>
        <v>0</v>
      </c>
      <c r="J39" s="121">
        <f t="shared" si="5"/>
        <v>0</v>
      </c>
    </row>
    <row r="40" spans="2:10" ht="15" customHeight="1">
      <c r="B40" s="143" t="s">
        <v>519</v>
      </c>
      <c r="C40" s="139" t="s">
        <v>162</v>
      </c>
      <c r="D40" s="113" t="s">
        <v>266</v>
      </c>
      <c r="E40" s="33" t="s">
        <v>164</v>
      </c>
      <c r="F40" s="110">
        <v>1</v>
      </c>
      <c r="G40" s="116"/>
      <c r="H40" s="116"/>
      <c r="I40" s="117">
        <f t="shared" si="4"/>
        <v>0</v>
      </c>
      <c r="J40" s="121">
        <f t="shared" si="5"/>
        <v>0</v>
      </c>
    </row>
    <row r="41" spans="2:10">
      <c r="B41" s="144"/>
      <c r="C41" s="97"/>
      <c r="D41" s="98"/>
      <c r="E41" s="97"/>
      <c r="F41" s="85"/>
      <c r="G41" s="85"/>
      <c r="H41" s="85"/>
      <c r="I41" s="85"/>
      <c r="J41" s="145"/>
    </row>
    <row r="42" spans="2:10" ht="15">
      <c r="B42" s="124">
        <v>4</v>
      </c>
      <c r="C42" s="260" t="s">
        <v>63</v>
      </c>
      <c r="D42" s="260"/>
      <c r="E42" s="80"/>
      <c r="F42" s="81"/>
      <c r="G42" s="81"/>
      <c r="H42" s="81"/>
      <c r="I42" s="81"/>
      <c r="J42" s="125">
        <f>SUM(J43:J45)</f>
        <v>0</v>
      </c>
    </row>
    <row r="43" spans="2:10" ht="28.5">
      <c r="B43" s="143" t="s">
        <v>67</v>
      </c>
      <c r="C43" s="139" t="s">
        <v>156</v>
      </c>
      <c r="D43" s="113" t="s">
        <v>157</v>
      </c>
      <c r="E43" s="33" t="s">
        <v>44</v>
      </c>
      <c r="F43" s="110">
        <v>1</v>
      </c>
      <c r="G43" s="116"/>
      <c r="H43" s="116">
        <v>0</v>
      </c>
      <c r="I43" s="117">
        <f t="shared" ref="I43:I45" si="6">G43+H43</f>
        <v>0</v>
      </c>
      <c r="J43" s="121">
        <f t="shared" ref="J43:J45" si="7">I43*F43</f>
        <v>0</v>
      </c>
    </row>
    <row r="44" spans="2:10">
      <c r="B44" s="143" t="s">
        <v>68</v>
      </c>
      <c r="C44" s="139" t="s">
        <v>162</v>
      </c>
      <c r="D44" s="113" t="s">
        <v>163</v>
      </c>
      <c r="E44" s="33" t="s">
        <v>164</v>
      </c>
      <c r="F44" s="110">
        <v>10</v>
      </c>
      <c r="G44" s="116"/>
      <c r="H44" s="116"/>
      <c r="I44" s="117">
        <f t="shared" si="6"/>
        <v>0</v>
      </c>
      <c r="J44" s="121">
        <f t="shared" si="7"/>
        <v>0</v>
      </c>
    </row>
    <row r="45" spans="2:10" ht="28.5">
      <c r="B45" s="143" t="s">
        <v>107</v>
      </c>
      <c r="C45" s="139" t="s">
        <v>158</v>
      </c>
      <c r="D45" s="113" t="s">
        <v>106</v>
      </c>
      <c r="E45" s="33" t="s">
        <v>34</v>
      </c>
      <c r="F45" s="110">
        <v>1</v>
      </c>
      <c r="G45" s="116"/>
      <c r="H45" s="116"/>
      <c r="I45" s="117">
        <f t="shared" si="6"/>
        <v>0</v>
      </c>
      <c r="J45" s="121">
        <f t="shared" si="7"/>
        <v>0</v>
      </c>
    </row>
    <row r="46" spans="2:10">
      <c r="B46" s="144"/>
      <c r="C46" s="97"/>
      <c r="D46" s="98"/>
      <c r="E46" s="97"/>
      <c r="F46" s="85"/>
      <c r="G46" s="85"/>
      <c r="H46" s="85"/>
      <c r="I46" s="85"/>
      <c r="J46" s="145"/>
    </row>
    <row r="47" spans="2:10" ht="15">
      <c r="B47" s="124">
        <v>5</v>
      </c>
      <c r="C47" s="260" t="s">
        <v>66</v>
      </c>
      <c r="D47" s="260"/>
      <c r="E47" s="80"/>
      <c r="F47" s="81"/>
      <c r="G47" s="81"/>
      <c r="H47" s="81"/>
      <c r="I47" s="81"/>
      <c r="J47" s="125">
        <f>SUM(J48:J51)</f>
        <v>0</v>
      </c>
    </row>
    <row r="48" spans="2:10" ht="28.5">
      <c r="B48" s="143" t="s">
        <v>90</v>
      </c>
      <c r="C48" s="139" t="s">
        <v>159</v>
      </c>
      <c r="D48" s="113" t="s">
        <v>160</v>
      </c>
      <c r="E48" s="33" t="s">
        <v>44</v>
      </c>
      <c r="F48" s="110">
        <v>1</v>
      </c>
      <c r="G48" s="116"/>
      <c r="H48" s="116"/>
      <c r="I48" s="117">
        <f t="shared" ref="I48:I50" si="8">G48+H48</f>
        <v>0</v>
      </c>
      <c r="J48" s="121">
        <f t="shared" ref="J48:J50" si="9">I48*F48</f>
        <v>0</v>
      </c>
    </row>
    <row r="49" spans="2:12" ht="28.5">
      <c r="B49" s="143" t="s">
        <v>100</v>
      </c>
      <c r="C49" s="139" t="s">
        <v>158</v>
      </c>
      <c r="D49" s="113" t="s">
        <v>106</v>
      </c>
      <c r="E49" s="33" t="s">
        <v>34</v>
      </c>
      <c r="F49" s="110">
        <v>2</v>
      </c>
      <c r="G49" s="116"/>
      <c r="H49" s="116"/>
      <c r="I49" s="117">
        <f t="shared" si="8"/>
        <v>0</v>
      </c>
      <c r="J49" s="121">
        <f t="shared" si="9"/>
        <v>0</v>
      </c>
    </row>
    <row r="50" spans="2:12">
      <c r="B50" s="143" t="s">
        <v>230</v>
      </c>
      <c r="C50" s="139" t="s">
        <v>35</v>
      </c>
      <c r="D50" s="113" t="s">
        <v>278</v>
      </c>
      <c r="E50" s="33" t="s">
        <v>34</v>
      </c>
      <c r="F50" s="110">
        <v>2</v>
      </c>
      <c r="G50" s="116"/>
      <c r="H50" s="116"/>
      <c r="I50" s="117">
        <f t="shared" si="8"/>
        <v>0</v>
      </c>
      <c r="J50" s="121">
        <f t="shared" si="9"/>
        <v>0</v>
      </c>
    </row>
    <row r="51" spans="2:12" ht="15" customHeight="1">
      <c r="B51" s="143" t="s">
        <v>232</v>
      </c>
      <c r="C51" s="139" t="s">
        <v>162</v>
      </c>
      <c r="D51" s="113" t="s">
        <v>262</v>
      </c>
      <c r="E51" s="33" t="s">
        <v>164</v>
      </c>
      <c r="F51" s="110">
        <v>2</v>
      </c>
      <c r="G51" s="116"/>
      <c r="H51" s="116"/>
      <c r="I51" s="117">
        <f t="shared" ref="I51" si="10">G51+H51</f>
        <v>0</v>
      </c>
      <c r="J51" s="121">
        <f t="shared" ref="J51" si="11">I51*F51</f>
        <v>0</v>
      </c>
    </row>
    <row r="52" spans="2:12" ht="15" customHeight="1">
      <c r="B52" s="144"/>
      <c r="C52" s="195"/>
      <c r="D52" s="196"/>
      <c r="E52" s="48"/>
      <c r="F52" s="197"/>
      <c r="G52" s="198"/>
      <c r="H52" s="198"/>
      <c r="I52" s="199"/>
      <c r="J52" s="200"/>
    </row>
    <row r="53" spans="2:12" ht="15" customHeight="1">
      <c r="B53" s="124">
        <v>6</v>
      </c>
      <c r="C53" s="260" t="s">
        <v>279</v>
      </c>
      <c r="D53" s="260"/>
      <c r="E53" s="80"/>
      <c r="F53" s="81"/>
      <c r="G53" s="81"/>
      <c r="H53" s="81"/>
      <c r="I53" s="81"/>
      <c r="J53" s="125">
        <f>SUM(J54:J60)</f>
        <v>0</v>
      </c>
    </row>
    <row r="54" spans="2:12" ht="15" customHeight="1">
      <c r="B54" s="143" t="s">
        <v>361</v>
      </c>
      <c r="C54" s="139" t="s">
        <v>280</v>
      </c>
      <c r="D54" s="113" t="s">
        <v>281</v>
      </c>
      <c r="E54" s="33" t="s">
        <v>34</v>
      </c>
      <c r="F54" s="110">
        <v>8</v>
      </c>
      <c r="G54" s="116"/>
      <c r="H54" s="116"/>
      <c r="I54" s="117">
        <f t="shared" ref="I54:I60" si="12">G54+H54</f>
        <v>0</v>
      </c>
      <c r="J54" s="121">
        <f t="shared" ref="J54:J60" si="13">I54*F54</f>
        <v>0</v>
      </c>
    </row>
    <row r="55" spans="2:12" ht="15" customHeight="1">
      <c r="B55" s="143" t="s">
        <v>400</v>
      </c>
      <c r="C55" s="139" t="s">
        <v>284</v>
      </c>
      <c r="D55" s="113" t="s">
        <v>285</v>
      </c>
      <c r="E55" s="33" t="s">
        <v>34</v>
      </c>
      <c r="F55" s="110">
        <v>1</v>
      </c>
      <c r="G55" s="116"/>
      <c r="H55" s="116"/>
      <c r="I55" s="117">
        <f t="shared" si="12"/>
        <v>0</v>
      </c>
      <c r="J55" s="121">
        <f t="shared" si="13"/>
        <v>0</v>
      </c>
    </row>
    <row r="56" spans="2:12" ht="15" customHeight="1">
      <c r="B56" s="143" t="s">
        <v>401</v>
      </c>
      <c r="C56" s="139" t="s">
        <v>286</v>
      </c>
      <c r="D56" s="113" t="s">
        <v>287</v>
      </c>
      <c r="E56" s="33" t="s">
        <v>34</v>
      </c>
      <c r="F56" s="110">
        <v>1</v>
      </c>
      <c r="G56" s="116"/>
      <c r="H56" s="116"/>
      <c r="I56" s="117">
        <f t="shared" si="12"/>
        <v>0</v>
      </c>
      <c r="J56" s="121">
        <f t="shared" si="13"/>
        <v>0</v>
      </c>
    </row>
    <row r="57" spans="2:12" ht="15" customHeight="1">
      <c r="B57" s="143" t="s">
        <v>591</v>
      </c>
      <c r="C57" s="139" t="s">
        <v>282</v>
      </c>
      <c r="D57" s="113" t="s">
        <v>283</v>
      </c>
      <c r="E57" s="33" t="s">
        <v>34</v>
      </c>
      <c r="F57" s="110">
        <v>1</v>
      </c>
      <c r="G57" s="116"/>
      <c r="H57" s="116"/>
      <c r="I57" s="117">
        <f t="shared" ref="I57:I59" si="14">G57+H57</f>
        <v>0</v>
      </c>
      <c r="J57" s="121">
        <f t="shared" ref="J57:J59" si="15">I57*F57</f>
        <v>0</v>
      </c>
    </row>
    <row r="58" spans="2:12" ht="15" customHeight="1">
      <c r="B58" s="143" t="s">
        <v>592</v>
      </c>
      <c r="C58" s="139" t="s">
        <v>288</v>
      </c>
      <c r="D58" s="113" t="s">
        <v>289</v>
      </c>
      <c r="E58" s="33" t="s">
        <v>34</v>
      </c>
      <c r="F58" s="110">
        <v>1</v>
      </c>
      <c r="G58" s="116"/>
      <c r="H58" s="116"/>
      <c r="I58" s="117">
        <f t="shared" si="14"/>
        <v>0</v>
      </c>
      <c r="J58" s="121">
        <f t="shared" si="15"/>
        <v>0</v>
      </c>
    </row>
    <row r="59" spans="2:12" ht="15" customHeight="1">
      <c r="B59" s="143" t="s">
        <v>593</v>
      </c>
      <c r="C59" s="139" t="s">
        <v>290</v>
      </c>
      <c r="D59" s="113" t="s">
        <v>291</v>
      </c>
      <c r="E59" s="33" t="s">
        <v>41</v>
      </c>
      <c r="F59" s="110">
        <v>40</v>
      </c>
      <c r="G59" s="116"/>
      <c r="H59" s="116"/>
      <c r="I59" s="117">
        <f t="shared" si="14"/>
        <v>0</v>
      </c>
      <c r="J59" s="121">
        <f t="shared" si="15"/>
        <v>0</v>
      </c>
    </row>
    <row r="60" spans="2:12" ht="15" customHeight="1">
      <c r="B60" s="143" t="s">
        <v>594</v>
      </c>
      <c r="C60" s="139" t="s">
        <v>155</v>
      </c>
      <c r="D60" s="113" t="s">
        <v>72</v>
      </c>
      <c r="E60" s="33" t="s">
        <v>34</v>
      </c>
      <c r="F60" s="110">
        <v>2</v>
      </c>
      <c r="G60" s="116"/>
      <c r="H60" s="116"/>
      <c r="I60" s="117">
        <f t="shared" si="12"/>
        <v>0</v>
      </c>
      <c r="J60" s="121">
        <f t="shared" si="13"/>
        <v>0</v>
      </c>
    </row>
    <row r="61" spans="2:12" ht="15" thickBot="1">
      <c r="B61" s="144"/>
      <c r="C61" s="97"/>
      <c r="D61" s="98"/>
      <c r="E61" s="97"/>
      <c r="F61" s="85"/>
      <c r="G61" s="85"/>
      <c r="H61" s="85"/>
      <c r="I61" s="85"/>
      <c r="J61" s="145"/>
    </row>
    <row r="62" spans="2:12" ht="15">
      <c r="B62" s="303" t="s">
        <v>6</v>
      </c>
      <c r="C62" s="304"/>
      <c r="D62" s="304"/>
      <c r="E62" s="304"/>
      <c r="F62" s="304"/>
      <c r="G62" s="304"/>
      <c r="H62" s="304"/>
      <c r="I62" s="304"/>
      <c r="J62" s="137"/>
      <c r="K62" s="22"/>
    </row>
    <row r="63" spans="2:12" ht="15" customHeight="1">
      <c r="B63" s="264" t="str">
        <f>CONCATENATE("Adm Local (",'calculo BDI'!$C$36*100,"%)")</f>
        <v>Adm Local (3,49%)</v>
      </c>
      <c r="C63" s="265"/>
      <c r="D63" s="265"/>
      <c r="E63" s="265"/>
      <c r="F63" s="265"/>
      <c r="G63" s="265"/>
      <c r="H63" s="265"/>
      <c r="I63" s="266"/>
      <c r="J63" s="238"/>
      <c r="K63" s="22"/>
    </row>
    <row r="64" spans="2:12" ht="15" customHeight="1">
      <c r="B64" s="264" t="str">
        <f>CONCATENATE("BDI (",'calculo BDI'!$C$26*100,"%)")</f>
        <v>BDI (19,5%)</v>
      </c>
      <c r="C64" s="265"/>
      <c r="D64" s="265"/>
      <c r="E64" s="265"/>
      <c r="F64" s="265"/>
      <c r="G64" s="265"/>
      <c r="H64" s="265"/>
      <c r="I64" s="266"/>
      <c r="J64" s="131"/>
      <c r="L64" s="163">
        <f>'calculo BDI'!C26</f>
        <v>0.19499999999999998</v>
      </c>
    </row>
    <row r="65" spans="2:10" ht="15.75" customHeight="1" thickBot="1">
      <c r="B65" s="267" t="s">
        <v>7</v>
      </c>
      <c r="C65" s="268"/>
      <c r="D65" s="268"/>
      <c r="E65" s="268"/>
      <c r="F65" s="268"/>
      <c r="G65" s="268"/>
      <c r="H65" s="268"/>
      <c r="I65" s="269"/>
      <c r="J65" s="132"/>
    </row>
  </sheetData>
  <mergeCells count="19">
    <mergeCell ref="C53:D53"/>
    <mergeCell ref="B63:I63"/>
    <mergeCell ref="C8:D8"/>
    <mergeCell ref="B65:I65"/>
    <mergeCell ref="H6:H7"/>
    <mergeCell ref="I6:I7"/>
    <mergeCell ref="J6:J7"/>
    <mergeCell ref="C15:D15"/>
    <mergeCell ref="B62:I62"/>
    <mergeCell ref="B64:I64"/>
    <mergeCell ref="B6:B7"/>
    <mergeCell ref="C6:C7"/>
    <mergeCell ref="D6:D7"/>
    <mergeCell ref="E6:E7"/>
    <mergeCell ref="F6:F7"/>
    <mergeCell ref="G6:G7"/>
    <mergeCell ref="C25:D25"/>
    <mergeCell ref="C42:D42"/>
    <mergeCell ref="C47:D47"/>
  </mergeCells>
  <printOptions horizontalCentered="1"/>
  <pageMargins left="0.51181102362204722" right="0.51181102362204722" top="0.78740157480314965" bottom="1.0908333333333333" header="0.31496062992125984" footer="0.31496062992125984"/>
  <pageSetup paperSize="9" scale="77" fitToHeight="0" orientation="landscape" r:id="rId1"/>
  <headerFooter>
    <oddHeader>&amp;C&amp;"Arial,Negrito"&amp;11Escritório Regional Ubatuba&amp;RPlanilha Orçamentária
CPOS 175 - Março/2019</oddHeader>
    <oddFooter>&amp;L&amp;"Verdana,Negrito"&amp;8Fundação Florestal&amp;"Verdana,Normal" | Av. Prof. Frederico Hermann Jr 345 | CEP 05459-010
São Paulo, SP | Fone (11) 2997-5000 | www.fflorestal.sp.gov.br&amp;"Arial,Normal"&amp;10
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L48"/>
  <sheetViews>
    <sheetView showGridLines="0" topLeftCell="A10" zoomScaleNormal="100" workbookViewId="0">
      <selection activeCell="H38" sqref="H38:H42"/>
    </sheetView>
  </sheetViews>
  <sheetFormatPr defaultRowHeight="14.25"/>
  <cols>
    <col min="1" max="1" width="3.5703125" style="14" customWidth="1"/>
    <col min="2" max="2" width="7.42578125" style="23" customWidth="1"/>
    <col min="3" max="3" width="18.7109375" style="23" customWidth="1"/>
    <col min="4" max="4" width="72.7109375" style="24" customWidth="1"/>
    <col min="5" max="5" width="5.7109375" style="23" bestFit="1" customWidth="1"/>
    <col min="6" max="6" width="12.140625" style="25" bestFit="1" customWidth="1"/>
    <col min="7" max="8" width="14" style="25" bestFit="1" customWidth="1"/>
    <col min="9" max="9" width="13.7109375" style="25" bestFit="1" customWidth="1"/>
    <col min="10" max="10" width="17.5703125" style="25" bestFit="1" customWidth="1"/>
    <col min="11" max="11" width="3.5703125" style="14" customWidth="1"/>
    <col min="12" max="12" width="9.7109375" style="14" bestFit="1" customWidth="1"/>
    <col min="13" max="16384" width="9.140625" style="14"/>
  </cols>
  <sheetData>
    <row r="5" spans="2:10" ht="15" thickBot="1"/>
    <row r="6" spans="2:10" s="10" customFormat="1">
      <c r="B6" s="277" t="s">
        <v>2</v>
      </c>
      <c r="C6" s="279" t="s">
        <v>10</v>
      </c>
      <c r="D6" s="281" t="s">
        <v>3</v>
      </c>
      <c r="E6" s="283" t="s">
        <v>4</v>
      </c>
      <c r="F6" s="272" t="s">
        <v>5</v>
      </c>
      <c r="G6" s="270" t="s">
        <v>11</v>
      </c>
      <c r="H6" s="270" t="s">
        <v>8</v>
      </c>
      <c r="I6" s="272" t="s">
        <v>9</v>
      </c>
      <c r="J6" s="274" t="s">
        <v>6</v>
      </c>
    </row>
    <row r="7" spans="2:10" s="11" customFormat="1">
      <c r="B7" s="278"/>
      <c r="C7" s="280"/>
      <c r="D7" s="282"/>
      <c r="E7" s="284"/>
      <c r="F7" s="273"/>
      <c r="G7" s="271"/>
      <c r="H7" s="271"/>
      <c r="I7" s="273"/>
      <c r="J7" s="275"/>
    </row>
    <row r="8" spans="2:10" ht="15">
      <c r="B8" s="126">
        <v>1</v>
      </c>
      <c r="C8" s="207" t="s">
        <v>349</v>
      </c>
      <c r="D8" s="205"/>
      <c r="E8" s="80"/>
      <c r="F8" s="81"/>
      <c r="G8" s="81"/>
      <c r="H8" s="81"/>
      <c r="I8" s="81"/>
      <c r="J8" s="125">
        <f>SUM(J9:J13)</f>
        <v>0</v>
      </c>
    </row>
    <row r="9" spans="2:10" ht="28.5">
      <c r="B9" s="120" t="s">
        <v>19</v>
      </c>
      <c r="C9" s="111" t="s">
        <v>301</v>
      </c>
      <c r="D9" s="16" t="s">
        <v>305</v>
      </c>
      <c r="E9" s="17" t="s">
        <v>164</v>
      </c>
      <c r="F9" s="110">
        <v>3</v>
      </c>
      <c r="G9" s="116"/>
      <c r="H9" s="136"/>
      <c r="I9" s="19">
        <f t="shared" ref="I9:I13" si="0">G9+H9</f>
        <v>0</v>
      </c>
      <c r="J9" s="121">
        <f t="shared" ref="J9:J13" si="1">I9*F9</f>
        <v>0</v>
      </c>
    </row>
    <row r="10" spans="2:10" ht="28.5">
      <c r="B10" s="120" t="s">
        <v>31</v>
      </c>
      <c r="C10" s="111" t="s">
        <v>302</v>
      </c>
      <c r="D10" s="16" t="s">
        <v>306</v>
      </c>
      <c r="E10" s="17" t="s">
        <v>164</v>
      </c>
      <c r="F10" s="110">
        <v>3</v>
      </c>
      <c r="G10" s="116"/>
      <c r="H10" s="116"/>
      <c r="I10" s="19">
        <f t="shared" si="0"/>
        <v>0</v>
      </c>
      <c r="J10" s="121">
        <f t="shared" si="1"/>
        <v>0</v>
      </c>
    </row>
    <row r="11" spans="2:10" ht="28.5">
      <c r="B11" s="120" t="s">
        <v>32</v>
      </c>
      <c r="C11" s="111" t="s">
        <v>307</v>
      </c>
      <c r="D11" s="16" t="s">
        <v>308</v>
      </c>
      <c r="E11" s="17" t="s">
        <v>253</v>
      </c>
      <c r="F11" s="110">
        <f>2*2*0.12</f>
        <v>0.48</v>
      </c>
      <c r="G11" s="116">
        <v>0</v>
      </c>
      <c r="H11" s="116"/>
      <c r="I11" s="19">
        <f t="shared" si="0"/>
        <v>0</v>
      </c>
      <c r="J11" s="121">
        <f t="shared" si="1"/>
        <v>0</v>
      </c>
    </row>
    <row r="12" spans="2:10">
      <c r="B12" s="120" t="s">
        <v>45</v>
      </c>
      <c r="C12" s="111" t="s">
        <v>326</v>
      </c>
      <c r="D12" s="16" t="s">
        <v>327</v>
      </c>
      <c r="E12" s="17" t="s">
        <v>1</v>
      </c>
      <c r="F12" s="110">
        <v>1.5</v>
      </c>
      <c r="G12" s="116">
        <v>0</v>
      </c>
      <c r="H12" s="116"/>
      <c r="I12" s="19">
        <f t="shared" si="0"/>
        <v>0</v>
      </c>
      <c r="J12" s="121">
        <f t="shared" si="1"/>
        <v>0</v>
      </c>
    </row>
    <row r="13" spans="2:10" ht="15" customHeight="1">
      <c r="B13" s="120" t="s">
        <v>46</v>
      </c>
      <c r="C13" s="111" t="s">
        <v>347</v>
      </c>
      <c r="D13" s="16" t="s">
        <v>356</v>
      </c>
      <c r="E13" s="17" t="s">
        <v>164</v>
      </c>
      <c r="F13" s="110">
        <v>1</v>
      </c>
      <c r="G13" s="116">
        <v>0</v>
      </c>
      <c r="H13" s="116"/>
      <c r="I13" s="19">
        <f t="shared" si="0"/>
        <v>0</v>
      </c>
      <c r="J13" s="121">
        <f t="shared" si="1"/>
        <v>0</v>
      </c>
    </row>
    <row r="14" spans="2:10">
      <c r="B14" s="120"/>
      <c r="C14" s="38"/>
      <c r="D14" s="39"/>
      <c r="E14" s="40"/>
      <c r="F14" s="41"/>
      <c r="G14" s="42"/>
      <c r="H14" s="42"/>
      <c r="I14" s="42"/>
      <c r="J14" s="123"/>
    </row>
    <row r="15" spans="2:10" ht="15">
      <c r="B15" s="126">
        <v>2</v>
      </c>
      <c r="C15" s="204" t="s">
        <v>315</v>
      </c>
      <c r="D15" s="204"/>
      <c r="E15" s="80"/>
      <c r="F15" s="81"/>
      <c r="G15" s="81"/>
      <c r="H15" s="81"/>
      <c r="I15" s="81"/>
      <c r="J15" s="125">
        <f>SUM(J16:J23)</f>
        <v>0</v>
      </c>
    </row>
    <row r="16" spans="2:10" ht="28.5">
      <c r="B16" s="120" t="s">
        <v>21</v>
      </c>
      <c r="C16" s="111" t="s">
        <v>316</v>
      </c>
      <c r="D16" s="16" t="s">
        <v>317</v>
      </c>
      <c r="E16" s="17" t="s">
        <v>253</v>
      </c>
      <c r="F16" s="110">
        <f>2*2*0.12</f>
        <v>0.48</v>
      </c>
      <c r="G16" s="116"/>
      <c r="H16" s="116"/>
      <c r="I16" s="19">
        <f t="shared" ref="I16:I19" si="2">G16+H16</f>
        <v>0</v>
      </c>
      <c r="J16" s="121">
        <f t="shared" ref="J16:J19" si="3">I16*F16</f>
        <v>0</v>
      </c>
    </row>
    <row r="17" spans="2:10" ht="28.5">
      <c r="B17" s="120" t="s">
        <v>22</v>
      </c>
      <c r="C17" s="111" t="s">
        <v>318</v>
      </c>
      <c r="D17" s="16" t="s">
        <v>320</v>
      </c>
      <c r="E17" s="17" t="s">
        <v>253</v>
      </c>
      <c r="F17" s="110">
        <f>2*2*0.12</f>
        <v>0.48</v>
      </c>
      <c r="G17" s="116"/>
      <c r="H17" s="116"/>
      <c r="I17" s="19">
        <f t="shared" si="2"/>
        <v>0</v>
      </c>
      <c r="J17" s="121">
        <f t="shared" si="3"/>
        <v>0</v>
      </c>
    </row>
    <row r="18" spans="2:10" ht="28.5">
      <c r="B18" s="120" t="s">
        <v>23</v>
      </c>
      <c r="C18" s="111" t="s">
        <v>319</v>
      </c>
      <c r="D18" s="16" t="s">
        <v>321</v>
      </c>
      <c r="E18" s="17" t="s">
        <v>1</v>
      </c>
      <c r="F18" s="110">
        <v>4</v>
      </c>
      <c r="G18" s="116"/>
      <c r="H18" s="116"/>
      <c r="I18" s="19">
        <f t="shared" si="2"/>
        <v>0</v>
      </c>
      <c r="J18" s="121">
        <f t="shared" si="3"/>
        <v>0</v>
      </c>
    </row>
    <row r="19" spans="2:10" ht="15" customHeight="1">
      <c r="B19" s="120" t="s">
        <v>24</v>
      </c>
      <c r="C19" s="111" t="s">
        <v>322</v>
      </c>
      <c r="D19" s="16" t="s">
        <v>324</v>
      </c>
      <c r="E19" s="17" t="s">
        <v>323</v>
      </c>
      <c r="F19" s="110">
        <f>F17*75</f>
        <v>36</v>
      </c>
      <c r="G19" s="116"/>
      <c r="H19" s="116"/>
      <c r="I19" s="19">
        <f t="shared" si="2"/>
        <v>0</v>
      </c>
      <c r="J19" s="121">
        <f t="shared" si="3"/>
        <v>0</v>
      </c>
    </row>
    <row r="20" spans="2:10" ht="28.5">
      <c r="B20" s="120" t="s">
        <v>25</v>
      </c>
      <c r="C20" s="134" t="s">
        <v>300</v>
      </c>
      <c r="D20" s="135" t="s">
        <v>358</v>
      </c>
      <c r="E20" s="79" t="s">
        <v>164</v>
      </c>
      <c r="F20" s="112">
        <f>0.6*4</f>
        <v>2.4</v>
      </c>
      <c r="G20" s="136"/>
      <c r="H20" s="136"/>
      <c r="I20" s="19">
        <f t="shared" ref="I20:I22" si="4">G20+H20</f>
        <v>0</v>
      </c>
      <c r="J20" s="121">
        <f t="shared" ref="J20:J22" si="5">I20*F20</f>
        <v>0</v>
      </c>
    </row>
    <row r="21" spans="2:10" ht="28.5">
      <c r="B21" s="120" t="s">
        <v>26</v>
      </c>
      <c r="C21" s="111" t="s">
        <v>347</v>
      </c>
      <c r="D21" s="16" t="s">
        <v>359</v>
      </c>
      <c r="E21" s="17" t="s">
        <v>164</v>
      </c>
      <c r="F21" s="110">
        <f>F20</f>
        <v>2.4</v>
      </c>
      <c r="G21" s="116">
        <v>0</v>
      </c>
      <c r="H21" s="116"/>
      <c r="I21" s="19">
        <f t="shared" ref="I21" si="6">G21+H21</f>
        <v>0</v>
      </c>
      <c r="J21" s="121">
        <f t="shared" si="5"/>
        <v>0</v>
      </c>
    </row>
    <row r="22" spans="2:10">
      <c r="B22" s="120" t="s">
        <v>27</v>
      </c>
      <c r="C22" s="111" t="s">
        <v>347</v>
      </c>
      <c r="D22" s="16" t="s">
        <v>357</v>
      </c>
      <c r="E22" s="17" t="s">
        <v>164</v>
      </c>
      <c r="F22" s="110">
        <v>4</v>
      </c>
      <c r="G22" s="116">
        <v>0</v>
      </c>
      <c r="H22" s="116"/>
      <c r="I22" s="19">
        <f t="shared" si="4"/>
        <v>0</v>
      </c>
      <c r="J22" s="121">
        <f t="shared" si="5"/>
        <v>0</v>
      </c>
    </row>
    <row r="23" spans="2:10" ht="28.5">
      <c r="B23" s="120" t="s">
        <v>36</v>
      </c>
      <c r="C23" s="111" t="s">
        <v>350</v>
      </c>
      <c r="D23" s="16" t="s">
        <v>351</v>
      </c>
      <c r="E23" s="17" t="s">
        <v>41</v>
      </c>
      <c r="F23" s="110">
        <v>10</v>
      </c>
      <c r="G23" s="116"/>
      <c r="H23" s="116"/>
      <c r="I23" s="19">
        <f t="shared" ref="I23" si="7">G23+H23</f>
        <v>0</v>
      </c>
      <c r="J23" s="121">
        <f t="shared" ref="J23" si="8">I23*F23</f>
        <v>0</v>
      </c>
    </row>
    <row r="24" spans="2:10">
      <c r="B24" s="120"/>
      <c r="C24" s="38"/>
      <c r="D24" s="39"/>
      <c r="E24" s="40"/>
      <c r="F24" s="41"/>
      <c r="G24" s="42"/>
      <c r="H24" s="42"/>
      <c r="I24" s="42"/>
      <c r="J24" s="123"/>
    </row>
    <row r="25" spans="2:10" ht="15">
      <c r="B25" s="126">
        <v>3</v>
      </c>
      <c r="C25" s="204" t="s">
        <v>309</v>
      </c>
      <c r="D25" s="204"/>
      <c r="E25" s="80"/>
      <c r="F25" s="81"/>
      <c r="G25" s="81"/>
      <c r="H25" s="81"/>
      <c r="I25" s="81"/>
      <c r="J25" s="125">
        <f>SUM(J26:J30)</f>
        <v>0</v>
      </c>
    </row>
    <row r="26" spans="2:10" ht="28.5">
      <c r="B26" s="120" t="s">
        <v>28</v>
      </c>
      <c r="C26" s="111" t="s">
        <v>303</v>
      </c>
      <c r="D26" s="16" t="s">
        <v>304</v>
      </c>
      <c r="E26" s="17" t="s">
        <v>34</v>
      </c>
      <c r="F26" s="110">
        <v>1</v>
      </c>
      <c r="G26" s="116"/>
      <c r="H26" s="116"/>
      <c r="I26" s="19">
        <f t="shared" ref="I26:I29" si="9">G26+H26</f>
        <v>0</v>
      </c>
      <c r="J26" s="121">
        <f t="shared" ref="J26:J29" si="10">I26*F26</f>
        <v>0</v>
      </c>
    </row>
    <row r="27" spans="2:10">
      <c r="B27" s="120" t="s">
        <v>29</v>
      </c>
      <c r="C27" s="111" t="s">
        <v>310</v>
      </c>
      <c r="D27" s="16" t="s">
        <v>311</v>
      </c>
      <c r="E27" s="17" t="s">
        <v>34</v>
      </c>
      <c r="F27" s="110">
        <v>1</v>
      </c>
      <c r="G27" s="116"/>
      <c r="H27" s="116"/>
      <c r="I27" s="19">
        <f t="shared" si="9"/>
        <v>0</v>
      </c>
      <c r="J27" s="121">
        <f t="shared" si="10"/>
        <v>0</v>
      </c>
    </row>
    <row r="28" spans="2:10" ht="28.5">
      <c r="B28" s="120" t="s">
        <v>30</v>
      </c>
      <c r="C28" s="111" t="s">
        <v>312</v>
      </c>
      <c r="D28" s="16" t="s">
        <v>313</v>
      </c>
      <c r="E28" s="17" t="s">
        <v>41</v>
      </c>
      <c r="F28" s="110">
        <v>50</v>
      </c>
      <c r="G28" s="116"/>
      <c r="H28" s="116"/>
      <c r="I28" s="19">
        <f t="shared" si="9"/>
        <v>0</v>
      </c>
      <c r="J28" s="121">
        <f t="shared" si="10"/>
        <v>0</v>
      </c>
    </row>
    <row r="29" spans="2:10" ht="28.5">
      <c r="B29" s="120" t="s">
        <v>42</v>
      </c>
      <c r="C29" s="111" t="s">
        <v>136</v>
      </c>
      <c r="D29" s="16" t="s">
        <v>314</v>
      </c>
      <c r="E29" s="17" t="s">
        <v>41</v>
      </c>
      <c r="F29" s="110">
        <v>30</v>
      </c>
      <c r="G29" s="116"/>
      <c r="H29" s="116"/>
      <c r="I29" s="19">
        <f t="shared" si="9"/>
        <v>0</v>
      </c>
      <c r="J29" s="121">
        <f t="shared" si="10"/>
        <v>0</v>
      </c>
    </row>
    <row r="30" spans="2:10" ht="28.5">
      <c r="B30" s="120" t="s">
        <v>43</v>
      </c>
      <c r="C30" s="111" t="s">
        <v>510</v>
      </c>
      <c r="D30" s="16" t="s">
        <v>511</v>
      </c>
      <c r="E30" s="17" t="s">
        <v>34</v>
      </c>
      <c r="F30" s="110">
        <v>1</v>
      </c>
      <c r="G30" s="116"/>
      <c r="H30" s="116"/>
      <c r="I30" s="19">
        <f t="shared" ref="I30" si="11">G30+H30</f>
        <v>0</v>
      </c>
      <c r="J30" s="121">
        <f t="shared" ref="J30" si="12">I30*F30</f>
        <v>0</v>
      </c>
    </row>
    <row r="31" spans="2:10">
      <c r="B31" s="120"/>
      <c r="C31" s="38"/>
      <c r="D31" s="39"/>
      <c r="E31" s="40"/>
      <c r="F31" s="41"/>
      <c r="G31" s="42"/>
      <c r="H31" s="42"/>
      <c r="I31" s="42"/>
      <c r="J31" s="123"/>
    </row>
    <row r="32" spans="2:10" ht="15">
      <c r="B32" s="126">
        <v>4</v>
      </c>
      <c r="C32" s="204" t="s">
        <v>325</v>
      </c>
      <c r="D32" s="204"/>
      <c r="E32" s="80"/>
      <c r="F32" s="81"/>
      <c r="G32" s="81"/>
      <c r="H32" s="81"/>
      <c r="I32" s="81"/>
      <c r="J32" s="125">
        <f>SUM(J33:J35)</f>
        <v>0</v>
      </c>
    </row>
    <row r="33" spans="2:12">
      <c r="B33" s="120" t="s">
        <v>67</v>
      </c>
      <c r="C33" s="111" t="s">
        <v>328</v>
      </c>
      <c r="D33" s="16" t="s">
        <v>329</v>
      </c>
      <c r="E33" s="17" t="s">
        <v>1</v>
      </c>
      <c r="F33" s="110">
        <f>2*0.6</f>
        <v>1.2</v>
      </c>
      <c r="G33" s="116"/>
      <c r="H33" s="116"/>
      <c r="I33" s="19">
        <f t="shared" ref="I33" si="13">G33+H33</f>
        <v>0</v>
      </c>
      <c r="J33" s="121">
        <f t="shared" ref="J33" si="14">I33*F33</f>
        <v>0</v>
      </c>
    </row>
    <row r="34" spans="2:12">
      <c r="B34" s="120" t="s">
        <v>68</v>
      </c>
      <c r="C34" s="111" t="s">
        <v>332</v>
      </c>
      <c r="D34" s="16" t="s">
        <v>333</v>
      </c>
      <c r="E34" s="17" t="s">
        <v>34</v>
      </c>
      <c r="F34" s="110">
        <v>1</v>
      </c>
      <c r="G34" s="116"/>
      <c r="H34" s="116"/>
      <c r="I34" s="19">
        <f t="shared" ref="I34:I35" si="15">G34+H34</f>
        <v>0</v>
      </c>
      <c r="J34" s="121">
        <f t="shared" ref="J34:J35" si="16">I34*F34</f>
        <v>0</v>
      </c>
    </row>
    <row r="35" spans="2:12">
      <c r="B35" s="120" t="s">
        <v>107</v>
      </c>
      <c r="C35" s="111" t="s">
        <v>330</v>
      </c>
      <c r="D35" s="16" t="s">
        <v>331</v>
      </c>
      <c r="E35" s="17" t="s">
        <v>34</v>
      </c>
      <c r="F35" s="110">
        <v>1</v>
      </c>
      <c r="G35" s="116"/>
      <c r="H35" s="116"/>
      <c r="I35" s="19">
        <f t="shared" si="15"/>
        <v>0</v>
      </c>
      <c r="J35" s="121">
        <f t="shared" si="16"/>
        <v>0</v>
      </c>
    </row>
    <row r="36" spans="2:12">
      <c r="B36" s="120"/>
      <c r="C36" s="38"/>
      <c r="D36" s="39"/>
      <c r="E36" s="40"/>
      <c r="F36" s="41"/>
      <c r="G36" s="42"/>
      <c r="H36" s="42"/>
      <c r="I36" s="42"/>
      <c r="J36" s="123"/>
    </row>
    <row r="37" spans="2:12" ht="15">
      <c r="B37" s="127">
        <v>5</v>
      </c>
      <c r="C37" s="206" t="s">
        <v>346</v>
      </c>
      <c r="D37" s="91"/>
      <c r="E37" s="92"/>
      <c r="F37" s="81"/>
      <c r="G37" s="81"/>
      <c r="H37" s="81"/>
      <c r="I37" s="81"/>
      <c r="J37" s="128">
        <f>SUM(J38:J43)</f>
        <v>0</v>
      </c>
    </row>
    <row r="38" spans="2:12" ht="28.5">
      <c r="B38" s="120" t="s">
        <v>90</v>
      </c>
      <c r="C38" s="111" t="s">
        <v>334</v>
      </c>
      <c r="D38" s="16" t="s">
        <v>335</v>
      </c>
      <c r="E38" s="17" t="s">
        <v>34</v>
      </c>
      <c r="F38" s="110">
        <v>2</v>
      </c>
      <c r="G38" s="116"/>
      <c r="H38" s="116"/>
      <c r="I38" s="19">
        <f t="shared" ref="I38" si="17">G38+H38</f>
        <v>0</v>
      </c>
      <c r="J38" s="121">
        <f t="shared" ref="J38" si="18">I38*F38</f>
        <v>0</v>
      </c>
    </row>
    <row r="39" spans="2:12">
      <c r="B39" s="120" t="s">
        <v>100</v>
      </c>
      <c r="C39" s="111" t="s">
        <v>340</v>
      </c>
      <c r="D39" s="16" t="s">
        <v>341</v>
      </c>
      <c r="E39" s="17" t="s">
        <v>34</v>
      </c>
      <c r="F39" s="110">
        <v>1</v>
      </c>
      <c r="G39" s="116"/>
      <c r="H39" s="116"/>
      <c r="I39" s="19">
        <f t="shared" ref="I39:I42" si="19">G39+H39</f>
        <v>0</v>
      </c>
      <c r="J39" s="121">
        <f t="shared" ref="J39:J42" si="20">I39*F39</f>
        <v>0</v>
      </c>
    </row>
    <row r="40" spans="2:12">
      <c r="B40" s="120" t="s">
        <v>230</v>
      </c>
      <c r="C40" s="111" t="s">
        <v>342</v>
      </c>
      <c r="D40" s="16" t="s">
        <v>343</v>
      </c>
      <c r="E40" s="17" t="s">
        <v>34</v>
      </c>
      <c r="F40" s="110">
        <v>1</v>
      </c>
      <c r="G40" s="116"/>
      <c r="H40" s="116"/>
      <c r="I40" s="19">
        <f t="shared" si="19"/>
        <v>0</v>
      </c>
      <c r="J40" s="121">
        <f t="shared" si="20"/>
        <v>0</v>
      </c>
    </row>
    <row r="41" spans="2:12">
      <c r="B41" s="120" t="s">
        <v>232</v>
      </c>
      <c r="C41" s="111" t="s">
        <v>336</v>
      </c>
      <c r="D41" s="16" t="s">
        <v>337</v>
      </c>
      <c r="E41" s="17" t="s">
        <v>34</v>
      </c>
      <c r="F41" s="110">
        <v>1</v>
      </c>
      <c r="G41" s="116"/>
      <c r="H41" s="116"/>
      <c r="I41" s="19">
        <f t="shared" si="19"/>
        <v>0</v>
      </c>
      <c r="J41" s="121">
        <f t="shared" si="20"/>
        <v>0</v>
      </c>
    </row>
    <row r="42" spans="2:12">
      <c r="B42" s="120" t="s">
        <v>294</v>
      </c>
      <c r="C42" s="111" t="s">
        <v>338</v>
      </c>
      <c r="D42" s="16" t="s">
        <v>339</v>
      </c>
      <c r="E42" s="17" t="s">
        <v>34</v>
      </c>
      <c r="F42" s="110">
        <v>1</v>
      </c>
      <c r="G42" s="116"/>
      <c r="H42" s="116"/>
      <c r="I42" s="19">
        <f t="shared" si="19"/>
        <v>0</v>
      </c>
      <c r="J42" s="121">
        <f t="shared" si="20"/>
        <v>0</v>
      </c>
    </row>
    <row r="43" spans="2:12" ht="28.5">
      <c r="B43" s="120" t="s">
        <v>295</v>
      </c>
      <c r="C43" s="111" t="s">
        <v>344</v>
      </c>
      <c r="D43" s="16" t="s">
        <v>345</v>
      </c>
      <c r="E43" s="17" t="s">
        <v>1</v>
      </c>
      <c r="F43" s="110">
        <f>1*0.8*2</f>
        <v>1.6</v>
      </c>
      <c r="G43" s="116"/>
      <c r="H43" s="116">
        <v>0</v>
      </c>
      <c r="I43" s="19">
        <f t="shared" ref="I43" si="21">G43+H43</f>
        <v>0</v>
      </c>
      <c r="J43" s="121">
        <f t="shared" ref="J43" si="22">I43*F43</f>
        <v>0</v>
      </c>
    </row>
    <row r="44" spans="2:12" ht="15" thickBot="1">
      <c r="B44" s="130"/>
      <c r="C44" s="103"/>
      <c r="D44" s="104"/>
      <c r="E44" s="103"/>
      <c r="F44" s="41"/>
      <c r="G44" s="105"/>
      <c r="H44" s="105"/>
      <c r="I44" s="105"/>
      <c r="J44" s="129"/>
    </row>
    <row r="45" spans="2:12" ht="15">
      <c r="B45" s="261" t="s">
        <v>6</v>
      </c>
      <c r="C45" s="262"/>
      <c r="D45" s="262"/>
      <c r="E45" s="262"/>
      <c r="F45" s="262"/>
      <c r="G45" s="262"/>
      <c r="H45" s="262"/>
      <c r="I45" s="263"/>
      <c r="J45" s="137">
        <f>+J8+J15+J25+J32+J37</f>
        <v>0</v>
      </c>
      <c r="K45" s="22"/>
    </row>
    <row r="46" spans="2:12" ht="15" customHeight="1">
      <c r="B46" s="264" t="str">
        <f>CONCATENATE("Adm Local (",'calculo BDI'!$C$36*100,"%)")</f>
        <v>Adm Local (3,49%)</v>
      </c>
      <c r="C46" s="265"/>
      <c r="D46" s="265"/>
      <c r="E46" s="265"/>
      <c r="F46" s="265"/>
      <c r="G46" s="265"/>
      <c r="H46" s="265"/>
      <c r="I46" s="266"/>
      <c r="J46" s="238">
        <f>J45*'calculo BDI'!$C$36</f>
        <v>0</v>
      </c>
      <c r="K46" s="22"/>
    </row>
    <row r="47" spans="2:12" ht="15" customHeight="1">
      <c r="B47" s="264" t="str">
        <f>CONCATENATE("BDI (",'calculo BDI'!$C$26*100,"%)")</f>
        <v>BDI (19,5%)</v>
      </c>
      <c r="C47" s="265"/>
      <c r="D47" s="265"/>
      <c r="E47" s="265"/>
      <c r="F47" s="265"/>
      <c r="G47" s="265"/>
      <c r="H47" s="265"/>
      <c r="I47" s="266"/>
      <c r="J47" s="131">
        <f>(J45+J46)*'calculo BDI'!$C$26</f>
        <v>0</v>
      </c>
      <c r="L47" s="163">
        <f>'calculo BDI'!C26</f>
        <v>0.19499999999999998</v>
      </c>
    </row>
    <row r="48" spans="2:12" ht="15" customHeight="1" thickBot="1">
      <c r="B48" s="267" t="s">
        <v>7</v>
      </c>
      <c r="C48" s="268"/>
      <c r="D48" s="268"/>
      <c r="E48" s="268"/>
      <c r="F48" s="268"/>
      <c r="G48" s="268"/>
      <c r="H48" s="268"/>
      <c r="I48" s="269"/>
      <c r="J48" s="132">
        <f>SUM(J45:J47)</f>
        <v>0</v>
      </c>
    </row>
  </sheetData>
  <mergeCells count="13">
    <mergeCell ref="J6:J7"/>
    <mergeCell ref="B6:B7"/>
    <mergeCell ref="C6:C7"/>
    <mergeCell ref="D6:D7"/>
    <mergeCell ref="E6:E7"/>
    <mergeCell ref="F6:F7"/>
    <mergeCell ref="G6:G7"/>
    <mergeCell ref="B45:I45"/>
    <mergeCell ref="B47:I47"/>
    <mergeCell ref="B48:I48"/>
    <mergeCell ref="H6:H7"/>
    <mergeCell ref="I6:I7"/>
    <mergeCell ref="B46:I46"/>
  </mergeCells>
  <printOptions horizontalCentered="1"/>
  <pageMargins left="0.51181102362204722" right="0.51181102362204722" top="0.78740157480314965" bottom="1.0266666666666666" header="0.31496062992125984" footer="0.31496062992125984"/>
  <pageSetup paperSize="9" scale="79" fitToHeight="0" orientation="landscape" r:id="rId1"/>
  <headerFooter>
    <oddHeader>&amp;C&amp;"Arial,Negrito"Escritório Regional Ubatuba&amp;RPlanilha Orçamentária
CPOS 175 - Março/2019</oddHeader>
    <oddFooter>&amp;L&amp;"Verdana,Negrito"&amp;8Fundação Florestal&amp;"Verdana,Normal" | Av. Prof. Frederico Hermann Jr 345 | CEP 05459-010
São Paulo, SP | Fone (11) 2997-5000 | www.fflorestal.sp.gov.br
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L32"/>
  <sheetViews>
    <sheetView showGridLines="0" topLeftCell="A16" zoomScaleNormal="100" workbookViewId="0">
      <selection activeCell="I10" sqref="I10"/>
    </sheetView>
  </sheetViews>
  <sheetFormatPr defaultRowHeight="14.25"/>
  <cols>
    <col min="1" max="1" width="3.5703125" style="14" customWidth="1"/>
    <col min="2" max="2" width="7.42578125" style="23" customWidth="1"/>
    <col min="3" max="3" width="20.7109375" style="23" customWidth="1"/>
    <col min="4" max="4" width="72.7109375" style="24" customWidth="1"/>
    <col min="5" max="5" width="5.7109375" style="23" bestFit="1" customWidth="1"/>
    <col min="6" max="6" width="12.140625" style="25" bestFit="1" customWidth="1"/>
    <col min="7" max="8" width="14" style="25" bestFit="1" customWidth="1"/>
    <col min="9" max="9" width="13.7109375" style="25" bestFit="1" customWidth="1"/>
    <col min="10" max="10" width="17.5703125" style="25" bestFit="1" customWidth="1"/>
    <col min="11" max="11" width="3.5703125" style="14" customWidth="1"/>
    <col min="12" max="12" width="9.7109375" style="14" bestFit="1" customWidth="1"/>
    <col min="13" max="16384" width="9.140625" style="14"/>
  </cols>
  <sheetData>
    <row r="5" spans="2:10" ht="15" thickBot="1"/>
    <row r="6" spans="2:10" s="10" customFormat="1">
      <c r="B6" s="277" t="s">
        <v>2</v>
      </c>
      <c r="C6" s="279" t="s">
        <v>10</v>
      </c>
      <c r="D6" s="281" t="s">
        <v>3</v>
      </c>
      <c r="E6" s="283" t="s">
        <v>4</v>
      </c>
      <c r="F6" s="272" t="s">
        <v>5</v>
      </c>
      <c r="G6" s="270" t="s">
        <v>11</v>
      </c>
      <c r="H6" s="270" t="s">
        <v>8</v>
      </c>
      <c r="I6" s="272" t="s">
        <v>9</v>
      </c>
      <c r="J6" s="274" t="s">
        <v>6</v>
      </c>
    </row>
    <row r="7" spans="2:10" s="11" customFormat="1">
      <c r="B7" s="278"/>
      <c r="C7" s="280"/>
      <c r="D7" s="282"/>
      <c r="E7" s="284"/>
      <c r="F7" s="273"/>
      <c r="G7" s="271"/>
      <c r="H7" s="271"/>
      <c r="I7" s="273"/>
      <c r="J7" s="275"/>
    </row>
    <row r="8" spans="2:10" s="239" customFormat="1" ht="15">
      <c r="B8" s="126">
        <v>1</v>
      </c>
      <c r="C8" s="206" t="s">
        <v>599</v>
      </c>
      <c r="D8" s="91"/>
      <c r="E8" s="92"/>
      <c r="F8" s="81"/>
      <c r="G8" s="81"/>
      <c r="H8" s="81"/>
      <c r="I8" s="81"/>
      <c r="J8" s="125"/>
    </row>
    <row r="9" spans="2:10" s="239" customFormat="1" ht="28.5">
      <c r="B9" s="120" t="s">
        <v>19</v>
      </c>
      <c r="C9" s="33" t="s">
        <v>197</v>
      </c>
      <c r="D9" s="16" t="s">
        <v>597</v>
      </c>
      <c r="E9" s="17" t="s">
        <v>164</v>
      </c>
      <c r="F9" s="110">
        <v>0.15</v>
      </c>
      <c r="G9" s="116"/>
      <c r="H9" s="116"/>
      <c r="I9" s="19">
        <f t="shared" ref="I9" si="0">G9+H9</f>
        <v>0</v>
      </c>
      <c r="J9" s="121">
        <f t="shared" ref="J9" si="1">I9*F9</f>
        <v>0</v>
      </c>
    </row>
    <row r="10" spans="2:10" s="239" customFormat="1" ht="28.5">
      <c r="B10" s="120" t="s">
        <v>31</v>
      </c>
      <c r="C10" s="33" t="s">
        <v>347</v>
      </c>
      <c r="D10" s="16" t="s">
        <v>598</v>
      </c>
      <c r="E10" s="17" t="s">
        <v>164</v>
      </c>
      <c r="F10" s="110">
        <v>2</v>
      </c>
      <c r="G10" s="116">
        <v>0</v>
      </c>
      <c r="H10" s="116"/>
      <c r="I10" s="19"/>
      <c r="J10" s="121">
        <f t="shared" ref="J10:J11" si="2">I10*F10</f>
        <v>0</v>
      </c>
    </row>
    <row r="11" spans="2:10" s="239" customFormat="1">
      <c r="B11" s="120"/>
      <c r="C11" s="33"/>
      <c r="D11" s="135"/>
      <c r="E11" s="79"/>
      <c r="F11" s="112"/>
      <c r="G11" s="136"/>
      <c r="H11" s="136"/>
      <c r="I11" s="19">
        <f t="shared" ref="I11" si="3">G11+H11</f>
        <v>0</v>
      </c>
      <c r="J11" s="121">
        <f t="shared" si="2"/>
        <v>0</v>
      </c>
    </row>
    <row r="12" spans="2:10" ht="15">
      <c r="B12" s="126">
        <v>2</v>
      </c>
      <c r="C12" s="106" t="s">
        <v>492</v>
      </c>
      <c r="D12" s="91"/>
      <c r="E12" s="92"/>
      <c r="F12" s="81"/>
      <c r="G12" s="81"/>
      <c r="H12" s="81"/>
      <c r="I12" s="81"/>
      <c r="J12" s="125">
        <f>SUM(J13:J15)</f>
        <v>0</v>
      </c>
    </row>
    <row r="13" spans="2:10" ht="28.5">
      <c r="B13" s="120" t="s">
        <v>21</v>
      </c>
      <c r="C13" s="33" t="s">
        <v>136</v>
      </c>
      <c r="D13" s="16" t="s">
        <v>112</v>
      </c>
      <c r="E13" s="17" t="s">
        <v>41</v>
      </c>
      <c r="F13" s="110">
        <v>10</v>
      </c>
      <c r="G13" s="116"/>
      <c r="H13" s="116"/>
      <c r="I13" s="19">
        <f t="shared" ref="I13:I15" si="4">G13+H13</f>
        <v>0</v>
      </c>
      <c r="J13" s="121">
        <f t="shared" ref="J13:J15" si="5">I13*F13</f>
        <v>0</v>
      </c>
    </row>
    <row r="14" spans="2:10">
      <c r="B14" s="120" t="s">
        <v>22</v>
      </c>
      <c r="C14" s="33" t="s">
        <v>35</v>
      </c>
      <c r="D14" s="135" t="s">
        <v>298</v>
      </c>
      <c r="E14" s="79" t="s">
        <v>41</v>
      </c>
      <c r="F14" s="112">
        <v>20</v>
      </c>
      <c r="G14" s="136"/>
      <c r="H14" s="136"/>
      <c r="I14" s="19">
        <f t="shared" si="4"/>
        <v>0</v>
      </c>
      <c r="J14" s="121">
        <f t="shared" si="5"/>
        <v>0</v>
      </c>
    </row>
    <row r="15" spans="2:10" ht="28.5">
      <c r="B15" s="120" t="s">
        <v>23</v>
      </c>
      <c r="C15" s="33" t="s">
        <v>300</v>
      </c>
      <c r="D15" s="135" t="s">
        <v>589</v>
      </c>
      <c r="E15" s="79" t="s">
        <v>164</v>
      </c>
      <c r="F15" s="112">
        <f>F14*0.1</f>
        <v>2</v>
      </c>
      <c r="G15" s="136"/>
      <c r="H15" s="136"/>
      <c r="I15" s="19">
        <f t="shared" si="4"/>
        <v>0</v>
      </c>
      <c r="J15" s="121">
        <f t="shared" si="5"/>
        <v>0</v>
      </c>
    </row>
    <row r="16" spans="2:10">
      <c r="B16" s="120"/>
      <c r="C16" s="38"/>
      <c r="D16" s="39"/>
      <c r="E16" s="40"/>
      <c r="F16" s="41"/>
      <c r="G16" s="42"/>
      <c r="H16" s="42"/>
      <c r="I16" s="42"/>
      <c r="J16" s="123"/>
    </row>
    <row r="17" spans="2:12" ht="15">
      <c r="B17" s="126">
        <v>3</v>
      </c>
      <c r="C17" s="293" t="s">
        <v>494</v>
      </c>
      <c r="D17" s="293"/>
      <c r="E17" s="36"/>
      <c r="F17" s="28"/>
      <c r="G17" s="28"/>
      <c r="H17" s="28"/>
      <c r="I17" s="81"/>
      <c r="J17" s="125">
        <f>SUM(J18:J19)</f>
        <v>0</v>
      </c>
    </row>
    <row r="18" spans="2:12" ht="57">
      <c r="B18" s="120" t="s">
        <v>28</v>
      </c>
      <c r="C18" s="33" t="s">
        <v>35</v>
      </c>
      <c r="D18" s="16" t="s">
        <v>487</v>
      </c>
      <c r="E18" s="17" t="s">
        <v>34</v>
      </c>
      <c r="F18" s="110">
        <v>4</v>
      </c>
      <c r="G18" s="116"/>
      <c r="H18" s="116"/>
      <c r="I18" s="19">
        <f t="shared" ref="I18:I19" si="6">G18+H18</f>
        <v>0</v>
      </c>
      <c r="J18" s="121">
        <f t="shared" ref="J18:J19" si="7">I18*F18</f>
        <v>0</v>
      </c>
    </row>
    <row r="19" spans="2:12" ht="28.5">
      <c r="B19" s="120" t="s">
        <v>29</v>
      </c>
      <c r="C19" s="33" t="s">
        <v>35</v>
      </c>
      <c r="D19" s="16" t="s">
        <v>490</v>
      </c>
      <c r="E19" s="17" t="s">
        <v>34</v>
      </c>
      <c r="F19" s="110">
        <v>4</v>
      </c>
      <c r="G19" s="116"/>
      <c r="H19" s="116"/>
      <c r="I19" s="19">
        <f t="shared" si="6"/>
        <v>0</v>
      </c>
      <c r="J19" s="121">
        <f t="shared" si="7"/>
        <v>0</v>
      </c>
    </row>
    <row r="20" spans="2:12">
      <c r="B20" s="120"/>
      <c r="C20" s="38"/>
      <c r="D20" s="39"/>
      <c r="E20" s="40"/>
      <c r="F20" s="41"/>
      <c r="G20" s="42"/>
      <c r="H20" s="42"/>
      <c r="I20" s="42"/>
      <c r="J20" s="123"/>
    </row>
    <row r="21" spans="2:12" ht="15">
      <c r="B21" s="126">
        <v>4</v>
      </c>
      <c r="C21" s="225" t="s">
        <v>493</v>
      </c>
      <c r="D21" s="204"/>
      <c r="E21" s="80"/>
      <c r="F21" s="81"/>
      <c r="G21" s="81"/>
      <c r="H21" s="81"/>
      <c r="I21" s="81"/>
      <c r="J21" s="125">
        <f>SUM(J22:J27)</f>
        <v>0</v>
      </c>
    </row>
    <row r="22" spans="2:12">
      <c r="B22" s="120" t="s">
        <v>67</v>
      </c>
      <c r="C22" s="33" t="s">
        <v>113</v>
      </c>
      <c r="D22" s="29" t="s">
        <v>114</v>
      </c>
      <c r="E22" s="17" t="s">
        <v>41</v>
      </c>
      <c r="F22" s="112">
        <v>10</v>
      </c>
      <c r="G22" s="136"/>
      <c r="H22" s="136"/>
      <c r="I22" s="19">
        <f t="shared" ref="I22:I26" si="8">G22+H22</f>
        <v>0</v>
      </c>
      <c r="J22" s="121">
        <f t="shared" ref="J22:J27" si="9">I22*F22</f>
        <v>0</v>
      </c>
    </row>
    <row r="23" spans="2:12" ht="28.5">
      <c r="B23" s="120" t="s">
        <v>68</v>
      </c>
      <c r="C23" s="33" t="s">
        <v>115</v>
      </c>
      <c r="D23" s="29" t="s">
        <v>116</v>
      </c>
      <c r="E23" s="17" t="s">
        <v>41</v>
      </c>
      <c r="F23" s="112">
        <v>10</v>
      </c>
      <c r="G23" s="136"/>
      <c r="H23" s="136"/>
      <c r="I23" s="19">
        <f t="shared" si="8"/>
        <v>0</v>
      </c>
      <c r="J23" s="121">
        <f t="shared" si="9"/>
        <v>0</v>
      </c>
    </row>
    <row r="24" spans="2:12">
      <c r="B24" s="120" t="s">
        <v>107</v>
      </c>
      <c r="C24" s="33" t="s">
        <v>481</v>
      </c>
      <c r="D24" s="29" t="s">
        <v>482</v>
      </c>
      <c r="E24" s="17" t="s">
        <v>44</v>
      </c>
      <c r="F24" s="112">
        <v>3</v>
      </c>
      <c r="G24" s="136"/>
      <c r="H24" s="136"/>
      <c r="I24" s="19">
        <f t="shared" si="8"/>
        <v>0</v>
      </c>
      <c r="J24" s="121">
        <f t="shared" si="9"/>
        <v>0</v>
      </c>
    </row>
    <row r="25" spans="2:12">
      <c r="B25" s="120" t="s">
        <v>110</v>
      </c>
      <c r="C25" s="111" t="s">
        <v>483</v>
      </c>
      <c r="D25" s="16" t="s">
        <v>484</v>
      </c>
      <c r="E25" s="17" t="s">
        <v>44</v>
      </c>
      <c r="F25" s="110">
        <v>1</v>
      </c>
      <c r="G25" s="116"/>
      <c r="H25" s="116"/>
      <c r="I25" s="19">
        <f t="shared" si="8"/>
        <v>0</v>
      </c>
      <c r="J25" s="121">
        <f t="shared" si="9"/>
        <v>0</v>
      </c>
    </row>
    <row r="26" spans="2:12">
      <c r="B26" s="120" t="s">
        <v>297</v>
      </c>
      <c r="C26" s="134" t="s">
        <v>485</v>
      </c>
      <c r="D26" s="135" t="s">
        <v>486</v>
      </c>
      <c r="E26" s="79" t="s">
        <v>44</v>
      </c>
      <c r="F26" s="112">
        <v>1</v>
      </c>
      <c r="G26" s="136"/>
      <c r="H26" s="136"/>
      <c r="I26" s="19">
        <f t="shared" si="8"/>
        <v>0</v>
      </c>
      <c r="J26" s="121">
        <f t="shared" si="9"/>
        <v>0</v>
      </c>
    </row>
    <row r="27" spans="2:12">
      <c r="B27" s="120"/>
      <c r="C27" s="111"/>
      <c r="D27" s="16"/>
      <c r="E27" s="17"/>
      <c r="F27" s="110"/>
      <c r="G27" s="116"/>
      <c r="H27" s="116"/>
      <c r="I27" s="19">
        <f t="shared" ref="I27" si="10">G27+H27</f>
        <v>0</v>
      </c>
      <c r="J27" s="121">
        <f t="shared" si="9"/>
        <v>0</v>
      </c>
    </row>
    <row r="28" spans="2:12" ht="15" thickBot="1">
      <c r="B28" s="130"/>
      <c r="C28" s="103"/>
      <c r="D28" s="104"/>
      <c r="E28" s="103"/>
      <c r="F28" s="41"/>
      <c r="G28" s="105"/>
      <c r="H28" s="105"/>
      <c r="I28" s="105"/>
      <c r="J28" s="129"/>
    </row>
    <row r="29" spans="2:12" ht="15">
      <c r="B29" s="261" t="s">
        <v>6</v>
      </c>
      <c r="C29" s="262"/>
      <c r="D29" s="262"/>
      <c r="E29" s="262"/>
      <c r="F29" s="262"/>
      <c r="G29" s="262"/>
      <c r="H29" s="262"/>
      <c r="I29" s="263"/>
      <c r="J29" s="137">
        <f>J8+J12+J17+J21</f>
        <v>0</v>
      </c>
      <c r="K29" s="22"/>
    </row>
    <row r="30" spans="2:12" ht="15" customHeight="1">
      <c r="B30" s="264" t="str">
        <f>CONCATENATE("Adm Local (",'calculo BDI'!$C$36*100,"%)")</f>
        <v>Adm Local (3,49%)</v>
      </c>
      <c r="C30" s="265"/>
      <c r="D30" s="265"/>
      <c r="E30" s="265"/>
      <c r="F30" s="265"/>
      <c r="G30" s="265"/>
      <c r="H30" s="265"/>
      <c r="I30" s="266"/>
      <c r="J30" s="238">
        <f>J29*'calculo BDI'!$C$36</f>
        <v>0</v>
      </c>
      <c r="K30" s="22"/>
    </row>
    <row r="31" spans="2:12" ht="15" customHeight="1">
      <c r="B31" s="264" t="str">
        <f>CONCATENATE("BDI (",'calculo BDI'!$C$26*100,"%)")</f>
        <v>BDI (19,5%)</v>
      </c>
      <c r="C31" s="265"/>
      <c r="D31" s="265"/>
      <c r="E31" s="265"/>
      <c r="F31" s="265"/>
      <c r="G31" s="265"/>
      <c r="H31" s="265"/>
      <c r="I31" s="266"/>
      <c r="J31" s="131">
        <f>(J29+J30)*'calculo BDI'!$C$26</f>
        <v>0</v>
      </c>
      <c r="L31" s="163"/>
    </row>
    <row r="32" spans="2:12" ht="15" customHeight="1" thickBot="1">
      <c r="B32" s="267" t="s">
        <v>7</v>
      </c>
      <c r="C32" s="268"/>
      <c r="D32" s="268"/>
      <c r="E32" s="268"/>
      <c r="F32" s="268"/>
      <c r="G32" s="268"/>
      <c r="H32" s="268"/>
      <c r="I32" s="269"/>
      <c r="J32" s="132">
        <f>SUM(J29:J31)</f>
        <v>0</v>
      </c>
    </row>
  </sheetData>
  <mergeCells count="14">
    <mergeCell ref="J6:J7"/>
    <mergeCell ref="B29:I29"/>
    <mergeCell ref="B31:I31"/>
    <mergeCell ref="B32:I32"/>
    <mergeCell ref="C17:D17"/>
    <mergeCell ref="B6:B7"/>
    <mergeCell ref="C6:C7"/>
    <mergeCell ref="D6:D7"/>
    <mergeCell ref="E6:E7"/>
    <mergeCell ref="F6:F7"/>
    <mergeCell ref="G6:G7"/>
    <mergeCell ref="H6:H7"/>
    <mergeCell ref="I6:I7"/>
    <mergeCell ref="B30:I30"/>
  </mergeCells>
  <printOptions horizontalCentered="1"/>
  <pageMargins left="0.51181102362204722" right="0.51181102362204722" top="0.78740157480314965" bottom="1.0266666666666666" header="0.31496062992125984" footer="0.31496062992125984"/>
  <pageSetup paperSize="9" scale="79" fitToHeight="0" orientation="landscape" r:id="rId1"/>
  <headerFooter>
    <oddHeader>&amp;C&amp;"Arial,Negrito"Escritório Regional Ubatuba&amp;RPlanilha Orçamentária
CPOS 175 - Março/2019</oddHeader>
    <oddFooter>&amp;L&amp;"Verdana,Negrito"&amp;8Fundação Florestal&amp;"Verdana,Normal" | Av. Prof. Frederico Hermann Jr 345 | CEP 05459-010
São Paulo, SP | Fone (11) 2997-5000 | www.fflorestal.sp.gov.br
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"/>
  <sheetViews>
    <sheetView zoomScale="85" zoomScaleNormal="85" zoomScalePageLayoutView="80" workbookViewId="0">
      <selection activeCell="N38" sqref="N38:N40"/>
    </sheetView>
  </sheetViews>
  <sheetFormatPr defaultRowHeight="12.75"/>
  <cols>
    <col min="1" max="1" width="8.7109375" customWidth="1"/>
    <col min="2" max="2" width="40.7109375" customWidth="1"/>
    <col min="3" max="3" width="12.28515625" bestFit="1" customWidth="1"/>
    <col min="4" max="5" width="10.7109375" customWidth="1"/>
    <col min="6" max="6" width="13" bestFit="1" customWidth="1"/>
    <col min="7" max="8" width="12.5703125" bestFit="1" customWidth="1"/>
    <col min="9" max="13" width="10.7109375" customWidth="1"/>
    <col min="14" max="14" width="14.140625" bestFit="1" customWidth="1"/>
    <col min="15" max="16" width="10.7109375" customWidth="1"/>
    <col min="17" max="17" width="12.42578125" customWidth="1"/>
    <col min="18" max="18" width="14.140625" bestFit="1" customWidth="1"/>
    <col min="19" max="21" width="10.7109375" customWidth="1"/>
    <col min="22" max="22" width="14.28515625" bestFit="1" customWidth="1"/>
    <col min="23" max="23" width="13.140625" bestFit="1" customWidth="1"/>
  </cols>
  <sheetData>
    <row r="1" spans="1:23" ht="15">
      <c r="A1" s="318" t="s">
        <v>267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</row>
    <row r="2" spans="1:23" ht="12.75" customHeight="1">
      <c r="A2" s="319" t="s">
        <v>2</v>
      </c>
      <c r="B2" s="320" t="s">
        <v>3</v>
      </c>
      <c r="C2" s="319" t="s">
        <v>168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</row>
    <row r="3" spans="1:23" ht="12.75" customHeight="1">
      <c r="A3" s="319"/>
      <c r="B3" s="319"/>
      <c r="C3" s="321" t="s">
        <v>169</v>
      </c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3"/>
      <c r="W3" s="324" t="s">
        <v>170</v>
      </c>
    </row>
    <row r="4" spans="1:23">
      <c r="A4" s="319"/>
      <c r="B4" s="319"/>
      <c r="C4" s="202" t="s">
        <v>172</v>
      </c>
      <c r="D4" s="203" t="s">
        <v>193</v>
      </c>
      <c r="E4" s="203" t="s">
        <v>194</v>
      </c>
      <c r="F4" s="203" t="s">
        <v>171</v>
      </c>
      <c r="G4" s="203" t="s">
        <v>213</v>
      </c>
      <c r="H4" s="203" t="s">
        <v>241</v>
      </c>
      <c r="I4" s="202" t="s">
        <v>264</v>
      </c>
      <c r="J4" s="208" t="s">
        <v>353</v>
      </c>
      <c r="K4" s="208" t="s">
        <v>354</v>
      </c>
      <c r="L4" s="208" t="s">
        <v>355</v>
      </c>
      <c r="M4" s="202" t="s">
        <v>424</v>
      </c>
      <c r="N4" s="217" t="s">
        <v>451</v>
      </c>
      <c r="O4" s="202" t="s">
        <v>427</v>
      </c>
      <c r="P4" s="215" t="s">
        <v>430</v>
      </c>
      <c r="Q4" s="215" t="s">
        <v>431</v>
      </c>
      <c r="R4" s="217" t="s">
        <v>452</v>
      </c>
      <c r="S4" s="224" t="s">
        <v>488</v>
      </c>
      <c r="T4" s="224" t="s">
        <v>489</v>
      </c>
      <c r="U4" s="224" t="s">
        <v>491</v>
      </c>
      <c r="V4" s="237" t="s">
        <v>585</v>
      </c>
      <c r="W4" s="324"/>
    </row>
    <row r="5" spans="1:23">
      <c r="A5" s="325" t="s">
        <v>173</v>
      </c>
      <c r="B5" s="308" t="s">
        <v>167</v>
      </c>
      <c r="C5" s="326">
        <v>167.9</v>
      </c>
      <c r="D5" s="326">
        <v>82.17</v>
      </c>
      <c r="E5" s="326">
        <v>76.41</v>
      </c>
      <c r="F5" s="326"/>
      <c r="G5" s="326"/>
      <c r="H5" s="326"/>
      <c r="I5" s="326"/>
      <c r="J5" s="326"/>
      <c r="K5" s="326"/>
      <c r="L5" s="326"/>
      <c r="M5" s="317"/>
      <c r="N5" s="317"/>
      <c r="O5" s="317"/>
      <c r="P5" s="311"/>
      <c r="Q5" s="311"/>
      <c r="R5" s="317"/>
      <c r="S5" s="317"/>
      <c r="T5" s="317"/>
      <c r="U5" s="317"/>
      <c r="V5" s="317"/>
      <c r="W5" s="327">
        <f>IFERROR(SUM(C5:V7)/COUNTA(C5:V7),0)</f>
        <v>108.82666666666667</v>
      </c>
    </row>
    <row r="6" spans="1:23">
      <c r="A6" s="325"/>
      <c r="B6" s="309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17"/>
      <c r="N6" s="317"/>
      <c r="O6" s="317"/>
      <c r="P6" s="312"/>
      <c r="Q6" s="312"/>
      <c r="R6" s="317"/>
      <c r="S6" s="317"/>
      <c r="T6" s="317"/>
      <c r="U6" s="317"/>
      <c r="V6" s="317"/>
      <c r="W6" s="327"/>
    </row>
    <row r="7" spans="1:23">
      <c r="A7" s="325"/>
      <c r="B7" s="309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17"/>
      <c r="N7" s="317"/>
      <c r="O7" s="317"/>
      <c r="P7" s="313"/>
      <c r="Q7" s="313"/>
      <c r="R7" s="317"/>
      <c r="S7" s="317"/>
      <c r="T7" s="317"/>
      <c r="U7" s="317"/>
      <c r="V7" s="317"/>
      <c r="W7" s="327"/>
    </row>
    <row r="8" spans="1:23">
      <c r="A8" s="325" t="s">
        <v>174</v>
      </c>
      <c r="B8" s="308" t="s">
        <v>209</v>
      </c>
      <c r="C8" s="326">
        <v>7.29</v>
      </c>
      <c r="D8" s="326"/>
      <c r="E8" s="326">
        <v>5.59</v>
      </c>
      <c r="F8" s="326">
        <v>9.66</v>
      </c>
      <c r="G8" s="326"/>
      <c r="H8" s="326"/>
      <c r="I8" s="326"/>
      <c r="J8" s="326"/>
      <c r="K8" s="326"/>
      <c r="L8" s="326"/>
      <c r="M8" s="317"/>
      <c r="N8" s="317"/>
      <c r="O8" s="317"/>
      <c r="P8" s="311"/>
      <c r="Q8" s="311"/>
      <c r="R8" s="317"/>
      <c r="S8" s="317"/>
      <c r="T8" s="317"/>
      <c r="U8" s="317"/>
      <c r="V8" s="317"/>
      <c r="W8" s="327">
        <f>IFERROR(SUM(C8:V10)/COUNTA(C8:V10),0)</f>
        <v>7.5133333333333328</v>
      </c>
    </row>
    <row r="9" spans="1:23">
      <c r="A9" s="325"/>
      <c r="B9" s="309"/>
      <c r="C9" s="326"/>
      <c r="D9" s="326"/>
      <c r="E9" s="326"/>
      <c r="F9" s="326"/>
      <c r="G9" s="326"/>
      <c r="H9" s="326"/>
      <c r="I9" s="326"/>
      <c r="J9" s="326"/>
      <c r="K9" s="326"/>
      <c r="L9" s="326"/>
      <c r="M9" s="317"/>
      <c r="N9" s="317"/>
      <c r="O9" s="317"/>
      <c r="P9" s="312"/>
      <c r="Q9" s="312"/>
      <c r="R9" s="317"/>
      <c r="S9" s="317"/>
      <c r="T9" s="317"/>
      <c r="U9" s="317"/>
      <c r="V9" s="317"/>
      <c r="W9" s="327"/>
    </row>
    <row r="10" spans="1:23">
      <c r="A10" s="325"/>
      <c r="B10" s="309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17"/>
      <c r="N10" s="317"/>
      <c r="O10" s="317"/>
      <c r="P10" s="313"/>
      <c r="Q10" s="313"/>
      <c r="R10" s="317"/>
      <c r="S10" s="317"/>
      <c r="T10" s="317"/>
      <c r="U10" s="317"/>
      <c r="V10" s="317"/>
      <c r="W10" s="327"/>
    </row>
    <row r="11" spans="1:23">
      <c r="A11" s="325" t="s">
        <v>175</v>
      </c>
      <c r="B11" s="308" t="s">
        <v>212</v>
      </c>
      <c r="C11" s="326"/>
      <c r="D11" s="326"/>
      <c r="E11" s="326"/>
      <c r="F11" s="326">
        <v>200.9</v>
      </c>
      <c r="G11" s="326">
        <v>199</v>
      </c>
      <c r="H11" s="326">
        <v>189.9</v>
      </c>
      <c r="I11" s="326"/>
      <c r="J11" s="326"/>
      <c r="K11" s="326"/>
      <c r="L11" s="326"/>
      <c r="M11" s="317"/>
      <c r="N11" s="317"/>
      <c r="O11" s="317"/>
      <c r="P11" s="311"/>
      <c r="Q11" s="311"/>
      <c r="R11" s="317"/>
      <c r="S11" s="317"/>
      <c r="T11" s="317"/>
      <c r="U11" s="317"/>
      <c r="V11" s="317"/>
      <c r="W11" s="327">
        <f>IFERROR(SUM(C11:V13)/COUNTA(C11:V13),0)</f>
        <v>196.6</v>
      </c>
    </row>
    <row r="12" spans="1:23">
      <c r="A12" s="325"/>
      <c r="B12" s="309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17"/>
      <c r="N12" s="317"/>
      <c r="O12" s="317"/>
      <c r="P12" s="312"/>
      <c r="Q12" s="312"/>
      <c r="R12" s="317"/>
      <c r="S12" s="317"/>
      <c r="T12" s="317"/>
      <c r="U12" s="317"/>
      <c r="V12" s="317"/>
      <c r="W12" s="327"/>
    </row>
    <row r="13" spans="1:23">
      <c r="A13" s="325"/>
      <c r="B13" s="309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17"/>
      <c r="N13" s="317"/>
      <c r="O13" s="317"/>
      <c r="P13" s="313"/>
      <c r="Q13" s="313"/>
      <c r="R13" s="317"/>
      <c r="S13" s="317"/>
      <c r="T13" s="317"/>
      <c r="U13" s="317"/>
      <c r="V13" s="317"/>
      <c r="W13" s="327"/>
    </row>
    <row r="14" spans="1:23">
      <c r="A14" s="325" t="s">
        <v>176</v>
      </c>
      <c r="B14" s="308" t="s">
        <v>298</v>
      </c>
      <c r="C14" s="326"/>
      <c r="D14" s="326"/>
      <c r="E14" s="326"/>
      <c r="F14" s="326">
        <f>179.1/50</f>
        <v>3.5819999999999999</v>
      </c>
      <c r="G14" s="326">
        <f>189.9/50</f>
        <v>3.798</v>
      </c>
      <c r="H14" s="326">
        <f>179.1/50</f>
        <v>3.5819999999999999</v>
      </c>
      <c r="I14" s="326"/>
      <c r="J14" s="326"/>
      <c r="K14" s="326"/>
      <c r="L14" s="326"/>
      <c r="M14" s="317"/>
      <c r="N14" s="317"/>
      <c r="O14" s="317"/>
      <c r="P14" s="311"/>
      <c r="Q14" s="311"/>
      <c r="R14" s="317"/>
      <c r="S14" s="317"/>
      <c r="T14" s="317"/>
      <c r="U14" s="317"/>
      <c r="V14" s="317"/>
      <c r="W14" s="327">
        <f>IFERROR(SUM(C14:V16)/COUNTA(C14:V16),0)</f>
        <v>3.6539999999999999</v>
      </c>
    </row>
    <row r="15" spans="1:23">
      <c r="A15" s="325"/>
      <c r="B15" s="309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17"/>
      <c r="N15" s="317"/>
      <c r="O15" s="317"/>
      <c r="P15" s="312"/>
      <c r="Q15" s="312"/>
      <c r="R15" s="317"/>
      <c r="S15" s="317"/>
      <c r="T15" s="317"/>
      <c r="U15" s="317"/>
      <c r="V15" s="317"/>
      <c r="W15" s="327"/>
    </row>
    <row r="16" spans="1:23">
      <c r="A16" s="325"/>
      <c r="B16" s="309"/>
      <c r="C16" s="326"/>
      <c r="D16" s="326"/>
      <c r="E16" s="326"/>
      <c r="F16" s="326"/>
      <c r="G16" s="326"/>
      <c r="H16" s="326"/>
      <c r="I16" s="326"/>
      <c r="J16" s="326"/>
      <c r="K16" s="326"/>
      <c r="L16" s="326"/>
      <c r="M16" s="317"/>
      <c r="N16" s="317"/>
      <c r="O16" s="317"/>
      <c r="P16" s="313"/>
      <c r="Q16" s="313"/>
      <c r="R16" s="317"/>
      <c r="S16" s="317"/>
      <c r="T16" s="317"/>
      <c r="U16" s="317"/>
      <c r="V16" s="317"/>
      <c r="W16" s="327"/>
    </row>
    <row r="17" spans="1:23" ht="12.75" hidden="1" customHeight="1">
      <c r="A17" s="325" t="s">
        <v>177</v>
      </c>
      <c r="B17" s="309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17"/>
      <c r="N17" s="317"/>
      <c r="O17" s="317"/>
      <c r="P17" s="216"/>
      <c r="Q17" s="216"/>
      <c r="R17" s="317"/>
      <c r="S17" s="317"/>
      <c r="T17" s="317"/>
      <c r="U17" s="317"/>
      <c r="V17" s="317"/>
      <c r="W17" s="327">
        <f>IFERROR(SUM(C17:V19)/COUNTA(C17:V19),0)</f>
        <v>0</v>
      </c>
    </row>
    <row r="18" spans="1:23" ht="12.75" hidden="1" customHeight="1">
      <c r="A18" s="325"/>
      <c r="B18" s="309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17"/>
      <c r="N18" s="317"/>
      <c r="O18" s="317"/>
      <c r="P18" s="216"/>
      <c r="Q18" s="216"/>
      <c r="R18" s="317"/>
      <c r="S18" s="317"/>
      <c r="T18" s="317"/>
      <c r="U18" s="317"/>
      <c r="V18" s="317"/>
      <c r="W18" s="327"/>
    </row>
    <row r="19" spans="1:23" ht="12.75" hidden="1" customHeight="1">
      <c r="A19" s="325"/>
      <c r="B19" s="309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17"/>
      <c r="N19" s="317"/>
      <c r="O19" s="317"/>
      <c r="P19" s="216"/>
      <c r="Q19" s="216"/>
      <c r="R19" s="317"/>
      <c r="S19" s="317"/>
      <c r="T19" s="317"/>
      <c r="U19" s="317"/>
      <c r="V19" s="317"/>
      <c r="W19" s="327"/>
    </row>
    <row r="20" spans="1:23" ht="12.75" customHeight="1">
      <c r="A20" s="325" t="s">
        <v>178</v>
      </c>
      <c r="B20" s="308" t="s">
        <v>263</v>
      </c>
      <c r="C20" s="326"/>
      <c r="D20" s="326"/>
      <c r="E20" s="326"/>
      <c r="F20" s="326">
        <f>18.49/100</f>
        <v>0.18489999999999998</v>
      </c>
      <c r="G20" s="326"/>
      <c r="H20" s="326">
        <f>12/100</f>
        <v>0.12</v>
      </c>
      <c r="I20" s="326">
        <v>0.5</v>
      </c>
      <c r="J20" s="326"/>
      <c r="K20" s="326"/>
      <c r="L20" s="326"/>
      <c r="M20" s="317"/>
      <c r="N20" s="317"/>
      <c r="O20" s="317"/>
      <c r="P20" s="311"/>
      <c r="Q20" s="311"/>
      <c r="R20" s="317"/>
      <c r="S20" s="317"/>
      <c r="T20" s="317"/>
      <c r="U20" s="317"/>
      <c r="V20" s="317"/>
      <c r="W20" s="327">
        <f>IFERROR(SUM(C20:V22)/COUNTA(C20:V22),0)</f>
        <v>0.26829999999999998</v>
      </c>
    </row>
    <row r="21" spans="1:23" ht="12.75" customHeight="1">
      <c r="A21" s="325"/>
      <c r="B21" s="309"/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17"/>
      <c r="N21" s="317"/>
      <c r="O21" s="317"/>
      <c r="P21" s="312"/>
      <c r="Q21" s="312"/>
      <c r="R21" s="317"/>
      <c r="S21" s="317"/>
      <c r="T21" s="317"/>
      <c r="U21" s="317"/>
      <c r="V21" s="317"/>
      <c r="W21" s="327"/>
    </row>
    <row r="22" spans="1:23" ht="12.75" customHeight="1">
      <c r="A22" s="325"/>
      <c r="B22" s="309"/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17"/>
      <c r="N22" s="317"/>
      <c r="O22" s="317"/>
      <c r="P22" s="313"/>
      <c r="Q22" s="313"/>
      <c r="R22" s="317"/>
      <c r="S22" s="317"/>
      <c r="T22" s="317"/>
      <c r="U22" s="317"/>
      <c r="V22" s="317"/>
      <c r="W22" s="327"/>
    </row>
    <row r="23" spans="1:23">
      <c r="A23" s="328" t="s">
        <v>179</v>
      </c>
      <c r="B23" s="309" t="s">
        <v>265</v>
      </c>
      <c r="C23" s="326"/>
      <c r="D23" s="326"/>
      <c r="E23" s="326"/>
      <c r="F23" s="326">
        <f>29.87/100</f>
        <v>0.29870000000000002</v>
      </c>
      <c r="G23" s="326"/>
      <c r="H23" s="329">
        <f>30.67/100</f>
        <v>0.30670000000000003</v>
      </c>
      <c r="I23" s="326">
        <f>31.15/100</f>
        <v>0.3115</v>
      </c>
      <c r="J23" s="326"/>
      <c r="K23" s="326"/>
      <c r="L23" s="326"/>
      <c r="M23" s="317"/>
      <c r="N23" s="317"/>
      <c r="O23" s="317"/>
      <c r="P23" s="311"/>
      <c r="Q23" s="311"/>
      <c r="R23" s="317"/>
      <c r="S23" s="317"/>
      <c r="T23" s="317"/>
      <c r="U23" s="317"/>
      <c r="V23" s="317"/>
      <c r="W23" s="327">
        <f>IFERROR(SUM(C23:V25)/COUNTA(C23:V25),0)</f>
        <v>0.30563333333333337</v>
      </c>
    </row>
    <row r="24" spans="1:23">
      <c r="A24" s="325"/>
      <c r="B24" s="309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17"/>
      <c r="N24" s="317"/>
      <c r="O24" s="317"/>
      <c r="P24" s="312"/>
      <c r="Q24" s="312"/>
      <c r="R24" s="317"/>
      <c r="S24" s="317"/>
      <c r="T24" s="317"/>
      <c r="U24" s="317"/>
      <c r="V24" s="317"/>
      <c r="W24" s="327"/>
    </row>
    <row r="25" spans="1:23">
      <c r="A25" s="325"/>
      <c r="B25" s="309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17"/>
      <c r="N25" s="317"/>
      <c r="O25" s="317"/>
      <c r="P25" s="313"/>
      <c r="Q25" s="313"/>
      <c r="R25" s="317"/>
      <c r="S25" s="317"/>
      <c r="T25" s="317"/>
      <c r="U25" s="317"/>
      <c r="V25" s="317"/>
      <c r="W25" s="327"/>
    </row>
    <row r="26" spans="1:23">
      <c r="A26" s="328" t="s">
        <v>180</v>
      </c>
      <c r="B26" s="309" t="s">
        <v>75</v>
      </c>
      <c r="C26" s="326"/>
      <c r="D26" s="326"/>
      <c r="E26" s="326"/>
      <c r="F26" s="326">
        <f>159.36/100</f>
        <v>1.5936000000000001</v>
      </c>
      <c r="G26" s="326"/>
      <c r="H26" s="326">
        <f>135.19/100</f>
        <v>1.3518999999999999</v>
      </c>
      <c r="I26" s="326">
        <f>147.58/100</f>
        <v>1.4758000000000002</v>
      </c>
      <c r="J26" s="326"/>
      <c r="K26" s="326"/>
      <c r="L26" s="326"/>
      <c r="M26" s="317"/>
      <c r="N26" s="317"/>
      <c r="O26" s="317"/>
      <c r="P26" s="311"/>
      <c r="Q26" s="311"/>
      <c r="R26" s="317"/>
      <c r="S26" s="317"/>
      <c r="T26" s="317"/>
      <c r="U26" s="317"/>
      <c r="V26" s="317"/>
      <c r="W26" s="327">
        <f>IFERROR(SUM(C26:V28)/COUNTA(C26:V28),0)</f>
        <v>1.4737666666666669</v>
      </c>
    </row>
    <row r="27" spans="1:23">
      <c r="A27" s="325"/>
      <c r="B27" s="309"/>
      <c r="C27" s="326"/>
      <c r="D27" s="326"/>
      <c r="E27" s="326"/>
      <c r="F27" s="326"/>
      <c r="G27" s="326"/>
      <c r="H27" s="326"/>
      <c r="I27" s="326"/>
      <c r="J27" s="326"/>
      <c r="K27" s="326"/>
      <c r="L27" s="326"/>
      <c r="M27" s="317"/>
      <c r="N27" s="317"/>
      <c r="O27" s="317"/>
      <c r="P27" s="312"/>
      <c r="Q27" s="312"/>
      <c r="R27" s="317"/>
      <c r="S27" s="317"/>
      <c r="T27" s="317"/>
      <c r="U27" s="317"/>
      <c r="V27" s="317"/>
      <c r="W27" s="327"/>
    </row>
    <row r="28" spans="1:23">
      <c r="A28" s="325"/>
      <c r="B28" s="309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17"/>
      <c r="N28" s="317"/>
      <c r="O28" s="317"/>
      <c r="P28" s="313"/>
      <c r="Q28" s="313"/>
      <c r="R28" s="317"/>
      <c r="S28" s="317"/>
      <c r="T28" s="317"/>
      <c r="U28" s="317"/>
      <c r="V28" s="317"/>
      <c r="W28" s="327"/>
    </row>
    <row r="29" spans="1:23" ht="12.75" customHeight="1">
      <c r="A29" s="328" t="s">
        <v>181</v>
      </c>
      <c r="B29" s="308" t="s">
        <v>352</v>
      </c>
      <c r="C29" s="317"/>
      <c r="D29" s="317"/>
      <c r="E29" s="317"/>
      <c r="F29" s="317"/>
      <c r="G29" s="317"/>
      <c r="H29" s="317"/>
      <c r="I29" s="317"/>
      <c r="J29" s="317">
        <v>2.5</v>
      </c>
      <c r="K29" s="317">
        <v>4</v>
      </c>
      <c r="L29" s="317">
        <f>113/36</f>
        <v>3.1388888888888888</v>
      </c>
      <c r="M29" s="317"/>
      <c r="N29" s="317"/>
      <c r="O29" s="317"/>
      <c r="P29" s="311"/>
      <c r="Q29" s="311"/>
      <c r="R29" s="317"/>
      <c r="S29" s="317"/>
      <c r="T29" s="317"/>
      <c r="U29" s="317"/>
      <c r="V29" s="317"/>
      <c r="W29" s="327">
        <f>IFERROR(SUM(C29:V31)/COUNTA(C29:V31),0)</f>
        <v>3.2129629629629632</v>
      </c>
    </row>
    <row r="30" spans="1:23">
      <c r="A30" s="325"/>
      <c r="B30" s="309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2"/>
      <c r="Q30" s="312"/>
      <c r="R30" s="317"/>
      <c r="S30" s="317"/>
      <c r="T30" s="317"/>
      <c r="U30" s="317"/>
      <c r="V30" s="317"/>
      <c r="W30" s="327"/>
    </row>
    <row r="31" spans="1:23">
      <c r="A31" s="325"/>
      <c r="B31" s="309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3"/>
      <c r="Q31" s="313"/>
      <c r="R31" s="317"/>
      <c r="S31" s="317"/>
      <c r="T31" s="317"/>
      <c r="U31" s="317"/>
      <c r="V31" s="317"/>
      <c r="W31" s="327"/>
    </row>
    <row r="32" spans="1:23" ht="12.75" customHeight="1">
      <c r="A32" s="328" t="s">
        <v>182</v>
      </c>
      <c r="B32" s="308" t="s">
        <v>421</v>
      </c>
      <c r="C32" s="317">
        <v>66.900000000000006</v>
      </c>
      <c r="D32" s="317"/>
      <c r="E32" s="317"/>
      <c r="F32" s="317">
        <v>50</v>
      </c>
      <c r="G32" s="317"/>
      <c r="H32" s="317"/>
      <c r="I32" s="317"/>
      <c r="J32" s="317"/>
      <c r="K32" s="317"/>
      <c r="L32" s="317"/>
      <c r="M32" s="317">
        <v>32.49</v>
      </c>
      <c r="N32" s="317"/>
      <c r="O32" s="317"/>
      <c r="P32" s="311"/>
      <c r="Q32" s="311"/>
      <c r="R32" s="317"/>
      <c r="S32" s="317"/>
      <c r="T32" s="317"/>
      <c r="U32" s="317"/>
      <c r="V32" s="317"/>
      <c r="W32" s="327">
        <f>IFERROR(SUM(C32:V34)/COUNTA(C32:V34),0)</f>
        <v>49.796666666666674</v>
      </c>
    </row>
    <row r="33" spans="1:23">
      <c r="A33" s="325"/>
      <c r="B33" s="309"/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2"/>
      <c r="Q33" s="312"/>
      <c r="R33" s="317"/>
      <c r="S33" s="317"/>
      <c r="T33" s="317"/>
      <c r="U33" s="317"/>
      <c r="V33" s="317"/>
      <c r="W33" s="327"/>
    </row>
    <row r="34" spans="1:23">
      <c r="A34" s="325"/>
      <c r="B34" s="309"/>
      <c r="C34" s="317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3"/>
      <c r="Q34" s="313"/>
      <c r="R34" s="317"/>
      <c r="S34" s="317"/>
      <c r="T34" s="317"/>
      <c r="U34" s="317"/>
      <c r="V34" s="317"/>
      <c r="W34" s="327"/>
    </row>
    <row r="35" spans="1:23" ht="12.75" customHeight="1">
      <c r="A35" s="328" t="s">
        <v>183</v>
      </c>
      <c r="B35" s="314" t="s">
        <v>428</v>
      </c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>
        <f>6/100</f>
        <v>0.06</v>
      </c>
      <c r="O35" s="311"/>
      <c r="P35" s="311">
        <f>7/100</f>
        <v>7.0000000000000007E-2</v>
      </c>
      <c r="Q35" s="311">
        <f>0.07</f>
        <v>7.0000000000000007E-2</v>
      </c>
      <c r="R35" s="311"/>
      <c r="S35" s="311"/>
      <c r="T35" s="311"/>
      <c r="U35" s="311"/>
      <c r="V35" s="311"/>
      <c r="W35" s="327">
        <f>IFERROR(SUM(C35:V37)/COUNTA(C35:V37),0)</f>
        <v>6.6666666666666666E-2</v>
      </c>
    </row>
    <row r="36" spans="1:23">
      <c r="A36" s="325"/>
      <c r="B36" s="315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27"/>
    </row>
    <row r="37" spans="1:23">
      <c r="A37" s="325"/>
      <c r="B37" s="316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27"/>
    </row>
    <row r="38" spans="1:23" ht="12.75" customHeight="1">
      <c r="A38" s="328" t="s">
        <v>184</v>
      </c>
      <c r="B38" s="314" t="s">
        <v>433</v>
      </c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>
        <f>49/500</f>
        <v>9.8000000000000004E-2</v>
      </c>
      <c r="O38" s="311"/>
      <c r="P38" s="311">
        <v>0.11</v>
      </c>
      <c r="Q38" s="311">
        <f>0.09</f>
        <v>0.09</v>
      </c>
      <c r="R38" s="311"/>
      <c r="S38" s="311"/>
      <c r="T38" s="311"/>
      <c r="U38" s="311"/>
      <c r="V38" s="311"/>
      <c r="W38" s="327">
        <f>IFERROR(SUM(C38:V40)/COUNTA(C38:V40),0)</f>
        <v>9.9333333333333343E-2</v>
      </c>
    </row>
    <row r="39" spans="1:23">
      <c r="A39" s="325"/>
      <c r="B39" s="315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27"/>
    </row>
    <row r="40" spans="1:23">
      <c r="A40" s="325"/>
      <c r="B40" s="316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27"/>
    </row>
    <row r="41" spans="1:23">
      <c r="A41" s="328" t="s">
        <v>185</v>
      </c>
      <c r="B41" s="314" t="s">
        <v>432</v>
      </c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>
        <f>76.99/500</f>
        <v>0.15397999999999998</v>
      </c>
      <c r="O41" s="311"/>
      <c r="P41" s="311">
        <v>0.17</v>
      </c>
      <c r="Q41" s="311">
        <f>0.14</f>
        <v>0.14000000000000001</v>
      </c>
      <c r="R41" s="311"/>
      <c r="S41" s="311"/>
      <c r="T41" s="311"/>
      <c r="U41" s="311"/>
      <c r="V41" s="311"/>
      <c r="W41" s="327">
        <f>IFERROR(SUM(C41:V43)/COUNTA(C41:V43),0)</f>
        <v>0.15465999999999999</v>
      </c>
    </row>
    <row r="42" spans="1:23">
      <c r="A42" s="325"/>
      <c r="B42" s="315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27"/>
    </row>
    <row r="43" spans="1:23">
      <c r="A43" s="325"/>
      <c r="B43" s="316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27"/>
    </row>
    <row r="44" spans="1:23" ht="12.75" customHeight="1">
      <c r="A44" s="328" t="s">
        <v>186</v>
      </c>
      <c r="B44" s="314" t="s">
        <v>463</v>
      </c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>
        <v>1700</v>
      </c>
      <c r="O44" s="311"/>
      <c r="P44" s="311"/>
      <c r="Q44" s="311"/>
      <c r="R44" s="311">
        <v>1825</v>
      </c>
      <c r="S44" s="311"/>
      <c r="T44" s="311"/>
      <c r="U44" s="311"/>
      <c r="V44" s="311">
        <v>1300</v>
      </c>
      <c r="W44" s="327">
        <f>IFERROR(SUM(C44:V46)/COUNTA(C44:V46),0)</f>
        <v>1608.3333333333333</v>
      </c>
    </row>
    <row r="45" spans="1:23">
      <c r="A45" s="325"/>
      <c r="B45" s="315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27"/>
    </row>
    <row r="46" spans="1:23">
      <c r="A46" s="325"/>
      <c r="B46" s="316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27"/>
    </row>
    <row r="47" spans="1:23" ht="12.75" customHeight="1">
      <c r="A47" s="328" t="s">
        <v>187</v>
      </c>
      <c r="B47" s="314" t="s">
        <v>487</v>
      </c>
      <c r="C47" s="305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>
        <v>300</v>
      </c>
      <c r="T47" s="305">
        <v>160</v>
      </c>
      <c r="U47" s="305">
        <v>200</v>
      </c>
      <c r="V47" s="305"/>
      <c r="W47" s="327">
        <f>IFERROR(SUM(C47:V49)/COUNTA(C47:V49),0)</f>
        <v>220</v>
      </c>
    </row>
    <row r="48" spans="1:23">
      <c r="A48" s="325"/>
      <c r="B48" s="315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27"/>
    </row>
    <row r="49" spans="1:23">
      <c r="A49" s="325"/>
      <c r="B49" s="316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27"/>
    </row>
    <row r="50" spans="1:23" ht="12.75" customHeight="1">
      <c r="A50" s="328" t="s">
        <v>188</v>
      </c>
      <c r="B50" s="308" t="s">
        <v>490</v>
      </c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05"/>
      <c r="Q50" s="305"/>
      <c r="R50" s="310"/>
      <c r="S50" s="310">
        <v>470</v>
      </c>
      <c r="T50" s="310">
        <v>350</v>
      </c>
      <c r="U50" s="310">
        <v>180</v>
      </c>
      <c r="V50" s="310"/>
      <c r="W50" s="327">
        <f>IFERROR(SUM(C50:V52)/COUNTA(C50:V52),0)</f>
        <v>333.33333333333331</v>
      </c>
    </row>
    <row r="51" spans="1:23">
      <c r="A51" s="325"/>
      <c r="B51" s="309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06"/>
      <c r="Q51" s="306"/>
      <c r="R51" s="310"/>
      <c r="S51" s="310"/>
      <c r="T51" s="310"/>
      <c r="U51" s="310"/>
      <c r="V51" s="310"/>
      <c r="W51" s="327"/>
    </row>
    <row r="52" spans="1:23">
      <c r="A52" s="325"/>
      <c r="B52" s="309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07"/>
      <c r="Q52" s="307"/>
      <c r="R52" s="310"/>
      <c r="S52" s="310"/>
      <c r="T52" s="310"/>
      <c r="U52" s="310"/>
      <c r="V52" s="310"/>
      <c r="W52" s="327"/>
    </row>
    <row r="53" spans="1:23" ht="12.75" customHeight="1">
      <c r="A53" s="328" t="s">
        <v>189</v>
      </c>
      <c r="B53" s="314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27">
        <f>IFERROR(SUM(C53:V55)/COUNTA(C53:V55),0)</f>
        <v>0</v>
      </c>
    </row>
    <row r="54" spans="1:23">
      <c r="A54" s="325"/>
      <c r="B54" s="315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27"/>
    </row>
    <row r="55" spans="1:23">
      <c r="A55" s="325"/>
      <c r="B55" s="316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27"/>
    </row>
    <row r="56" spans="1:23" ht="12.75" customHeight="1">
      <c r="A56" s="328" t="s">
        <v>190</v>
      </c>
      <c r="B56" s="314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27">
        <f>IFERROR(SUM(C56:V58)/COUNTA(C56:V58),0)</f>
        <v>0</v>
      </c>
    </row>
    <row r="57" spans="1:23">
      <c r="A57" s="325"/>
      <c r="B57" s="315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27"/>
    </row>
    <row r="58" spans="1:23">
      <c r="A58" s="325"/>
      <c r="B58" s="316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27"/>
    </row>
    <row r="59" spans="1:23" ht="12.75" customHeight="1">
      <c r="A59" s="328" t="s">
        <v>191</v>
      </c>
      <c r="B59" s="314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27">
        <f>IFERROR(SUM(C59:V61)/COUNTA(C59:V61),0)</f>
        <v>0</v>
      </c>
    </row>
    <row r="60" spans="1:23">
      <c r="A60" s="325"/>
      <c r="B60" s="315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27"/>
    </row>
    <row r="61" spans="1:23">
      <c r="A61" s="325"/>
      <c r="B61" s="316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27"/>
    </row>
    <row r="62" spans="1:23" ht="12.75" customHeight="1">
      <c r="A62" s="328" t="s">
        <v>192</v>
      </c>
      <c r="B62" s="314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27">
        <f>IFERROR(SUM(C62:V64)/COUNTA(C62:V64),0)</f>
        <v>0</v>
      </c>
    </row>
    <row r="63" spans="1:23">
      <c r="A63" s="325"/>
      <c r="B63" s="315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27"/>
    </row>
    <row r="64" spans="1:23">
      <c r="A64" s="325"/>
      <c r="B64" s="316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27"/>
    </row>
  </sheetData>
  <mergeCells count="464">
    <mergeCell ref="A56:A58"/>
    <mergeCell ref="W62:W64"/>
    <mergeCell ref="A62:A64"/>
    <mergeCell ref="R8:R10"/>
    <mergeCell ref="R11:R13"/>
    <mergeCell ref="R14:R16"/>
    <mergeCell ref="R17:R19"/>
    <mergeCell ref="R20:R22"/>
    <mergeCell ref="R23:R25"/>
    <mergeCell ref="R26:R28"/>
    <mergeCell ref="R29:R31"/>
    <mergeCell ref="R32:R34"/>
    <mergeCell ref="R53:R55"/>
    <mergeCell ref="R56:R58"/>
    <mergeCell ref="R59:R61"/>
    <mergeCell ref="R62:R64"/>
    <mergeCell ref="V62:V64"/>
    <mergeCell ref="W44:W46"/>
    <mergeCell ref="N62:N64"/>
    <mergeCell ref="A47:A49"/>
    <mergeCell ref="K62:K64"/>
    <mergeCell ref="L62:L64"/>
    <mergeCell ref="M62:M64"/>
    <mergeCell ref="O62:O64"/>
    <mergeCell ref="F62:F64"/>
    <mergeCell ref="G62:G64"/>
    <mergeCell ref="H62:H64"/>
    <mergeCell ref="I62:I64"/>
    <mergeCell ref="J62:J64"/>
    <mergeCell ref="W47:W49"/>
    <mergeCell ref="A44:A46"/>
    <mergeCell ref="B62:B64"/>
    <mergeCell ref="C62:C64"/>
    <mergeCell ref="W50:W52"/>
    <mergeCell ref="A53:A55"/>
    <mergeCell ref="W53:W55"/>
    <mergeCell ref="A50:A52"/>
    <mergeCell ref="W56:W58"/>
    <mergeCell ref="A59:A61"/>
    <mergeCell ref="W59:W61"/>
    <mergeCell ref="D62:D64"/>
    <mergeCell ref="E62:E64"/>
    <mergeCell ref="K59:K61"/>
    <mergeCell ref="L59:L61"/>
    <mergeCell ref="M59:M61"/>
    <mergeCell ref="F59:F61"/>
    <mergeCell ref="G59:G61"/>
    <mergeCell ref="H59:H61"/>
    <mergeCell ref="I59:I61"/>
    <mergeCell ref="J59:J61"/>
    <mergeCell ref="V56:V58"/>
    <mergeCell ref="W38:W40"/>
    <mergeCell ref="A41:A43"/>
    <mergeCell ref="B59:B61"/>
    <mergeCell ref="C59:C61"/>
    <mergeCell ref="D59:D61"/>
    <mergeCell ref="E59:E61"/>
    <mergeCell ref="K56:K58"/>
    <mergeCell ref="L56:L58"/>
    <mergeCell ref="M56:M58"/>
    <mergeCell ref="N56:N58"/>
    <mergeCell ref="O56:O58"/>
    <mergeCell ref="F56:F58"/>
    <mergeCell ref="G56:G58"/>
    <mergeCell ref="H56:H58"/>
    <mergeCell ref="I56:I58"/>
    <mergeCell ref="J56:J58"/>
    <mergeCell ref="V59:V61"/>
    <mergeCell ref="W41:W43"/>
    <mergeCell ref="N59:N61"/>
    <mergeCell ref="O59:O61"/>
    <mergeCell ref="A38:A40"/>
    <mergeCell ref="B56:B58"/>
    <mergeCell ref="C56:C58"/>
    <mergeCell ref="D56:D58"/>
    <mergeCell ref="E56:E58"/>
    <mergeCell ref="K53:K55"/>
    <mergeCell ref="L53:L55"/>
    <mergeCell ref="M53:M55"/>
    <mergeCell ref="F53:F55"/>
    <mergeCell ref="G53:G55"/>
    <mergeCell ref="H53:H55"/>
    <mergeCell ref="I53:I55"/>
    <mergeCell ref="J53:J55"/>
    <mergeCell ref="V32:V34"/>
    <mergeCell ref="W32:W34"/>
    <mergeCell ref="A35:A37"/>
    <mergeCell ref="B53:B55"/>
    <mergeCell ref="C53:C55"/>
    <mergeCell ref="D53:D55"/>
    <mergeCell ref="E53:E55"/>
    <mergeCell ref="K32:K34"/>
    <mergeCell ref="L32:L34"/>
    <mergeCell ref="M32:M34"/>
    <mergeCell ref="N32:N34"/>
    <mergeCell ref="O32:O34"/>
    <mergeCell ref="F32:F34"/>
    <mergeCell ref="G32:G34"/>
    <mergeCell ref="H32:H34"/>
    <mergeCell ref="I32:I34"/>
    <mergeCell ref="J32:J34"/>
    <mergeCell ref="V53:V55"/>
    <mergeCell ref="W35:W37"/>
    <mergeCell ref="N53:N55"/>
    <mergeCell ref="O53:O55"/>
    <mergeCell ref="A32:A34"/>
    <mergeCell ref="B32:B34"/>
    <mergeCell ref="C32:C34"/>
    <mergeCell ref="D32:D34"/>
    <mergeCell ref="E32:E34"/>
    <mergeCell ref="K29:K31"/>
    <mergeCell ref="L29:L31"/>
    <mergeCell ref="M29:M31"/>
    <mergeCell ref="F29:F31"/>
    <mergeCell ref="G29:G31"/>
    <mergeCell ref="H29:H31"/>
    <mergeCell ref="I29:I31"/>
    <mergeCell ref="J29:J31"/>
    <mergeCell ref="V26:V28"/>
    <mergeCell ref="W26:W28"/>
    <mergeCell ref="N26:N28"/>
    <mergeCell ref="A29:A31"/>
    <mergeCell ref="B29:B31"/>
    <mergeCell ref="C29:C31"/>
    <mergeCell ref="D29:D31"/>
    <mergeCell ref="E29:E31"/>
    <mergeCell ref="K26:K28"/>
    <mergeCell ref="L26:L28"/>
    <mergeCell ref="M26:M28"/>
    <mergeCell ref="O26:O28"/>
    <mergeCell ref="F26:F28"/>
    <mergeCell ref="G26:G28"/>
    <mergeCell ref="H26:H28"/>
    <mergeCell ref="I26:I28"/>
    <mergeCell ref="J26:J28"/>
    <mergeCell ref="V29:V31"/>
    <mergeCell ref="W29:W31"/>
    <mergeCell ref="N29:N31"/>
    <mergeCell ref="O29:O31"/>
    <mergeCell ref="A26:A28"/>
    <mergeCell ref="B26:B28"/>
    <mergeCell ref="C26:C28"/>
    <mergeCell ref="D26:D28"/>
    <mergeCell ref="E26:E28"/>
    <mergeCell ref="K23:K25"/>
    <mergeCell ref="L23:L25"/>
    <mergeCell ref="M23:M25"/>
    <mergeCell ref="F23:F25"/>
    <mergeCell ref="G23:G25"/>
    <mergeCell ref="H23:H25"/>
    <mergeCell ref="I23:I25"/>
    <mergeCell ref="J23:J25"/>
    <mergeCell ref="V20:V22"/>
    <mergeCell ref="W20:W22"/>
    <mergeCell ref="A23:A25"/>
    <mergeCell ref="B23:B25"/>
    <mergeCell ref="C23:C25"/>
    <mergeCell ref="D23:D25"/>
    <mergeCell ref="E23:E25"/>
    <mergeCell ref="K20:K22"/>
    <mergeCell ref="L20:L22"/>
    <mergeCell ref="M20:M22"/>
    <mergeCell ref="N20:N22"/>
    <mergeCell ref="O20:O22"/>
    <mergeCell ref="F20:F22"/>
    <mergeCell ref="G20:G22"/>
    <mergeCell ref="H20:H22"/>
    <mergeCell ref="I20:I22"/>
    <mergeCell ref="J20:J22"/>
    <mergeCell ref="V23:V25"/>
    <mergeCell ref="W23:W25"/>
    <mergeCell ref="N23:N25"/>
    <mergeCell ref="O23:O25"/>
    <mergeCell ref="A20:A22"/>
    <mergeCell ref="B20:B22"/>
    <mergeCell ref="C20:C22"/>
    <mergeCell ref="D20:D22"/>
    <mergeCell ref="E20:E22"/>
    <mergeCell ref="K17:K19"/>
    <mergeCell ref="L17:L19"/>
    <mergeCell ref="M17:M19"/>
    <mergeCell ref="F17:F19"/>
    <mergeCell ref="G17:G19"/>
    <mergeCell ref="H17:H19"/>
    <mergeCell ref="I17:I19"/>
    <mergeCell ref="J17:J19"/>
    <mergeCell ref="V14:V16"/>
    <mergeCell ref="W14:W16"/>
    <mergeCell ref="A17:A19"/>
    <mergeCell ref="B17:B19"/>
    <mergeCell ref="C17:C19"/>
    <mergeCell ref="D17:D19"/>
    <mergeCell ref="E17:E19"/>
    <mergeCell ref="K14:K16"/>
    <mergeCell ref="L14:L16"/>
    <mergeCell ref="M14:M16"/>
    <mergeCell ref="N14:N16"/>
    <mergeCell ref="O14:O16"/>
    <mergeCell ref="F14:F16"/>
    <mergeCell ref="G14:G16"/>
    <mergeCell ref="H14:H16"/>
    <mergeCell ref="I14:I16"/>
    <mergeCell ref="J14:J16"/>
    <mergeCell ref="V17:V19"/>
    <mergeCell ref="W17:W19"/>
    <mergeCell ref="N17:N19"/>
    <mergeCell ref="O17:O19"/>
    <mergeCell ref="A14:A16"/>
    <mergeCell ref="B14:B16"/>
    <mergeCell ref="C14:C16"/>
    <mergeCell ref="D14:D16"/>
    <mergeCell ref="E14:E16"/>
    <mergeCell ref="K11:K13"/>
    <mergeCell ref="L11:L13"/>
    <mergeCell ref="M11:M13"/>
    <mergeCell ref="F11:F13"/>
    <mergeCell ref="G11:G13"/>
    <mergeCell ref="H11:H13"/>
    <mergeCell ref="I11:I13"/>
    <mergeCell ref="J11:J13"/>
    <mergeCell ref="V8:V10"/>
    <mergeCell ref="W8:W10"/>
    <mergeCell ref="N8:N10"/>
    <mergeCell ref="A11:A13"/>
    <mergeCell ref="B11:B13"/>
    <mergeCell ref="C11:C13"/>
    <mergeCell ref="D11:D13"/>
    <mergeCell ref="E11:E13"/>
    <mergeCell ref="K8:K10"/>
    <mergeCell ref="L8:L10"/>
    <mergeCell ref="M8:M10"/>
    <mergeCell ref="O8:O10"/>
    <mergeCell ref="F8:F10"/>
    <mergeCell ref="G8:G10"/>
    <mergeCell ref="H8:H10"/>
    <mergeCell ref="I8:I10"/>
    <mergeCell ref="J8:J10"/>
    <mergeCell ref="V11:V13"/>
    <mergeCell ref="W11:W13"/>
    <mergeCell ref="N11:N13"/>
    <mergeCell ref="O11:O13"/>
    <mergeCell ref="A8:A10"/>
    <mergeCell ref="B8:B10"/>
    <mergeCell ref="C8:C10"/>
    <mergeCell ref="D8:D10"/>
    <mergeCell ref="E8:E10"/>
    <mergeCell ref="K5:K7"/>
    <mergeCell ref="L5:L7"/>
    <mergeCell ref="M5:M7"/>
    <mergeCell ref="F5:F7"/>
    <mergeCell ref="G5:G7"/>
    <mergeCell ref="H5:H7"/>
    <mergeCell ref="I5:I7"/>
    <mergeCell ref="J5:J7"/>
    <mergeCell ref="A1:W1"/>
    <mergeCell ref="A2:A4"/>
    <mergeCell ref="B2:B4"/>
    <mergeCell ref="C2:W2"/>
    <mergeCell ref="C3:V3"/>
    <mergeCell ref="W3:W4"/>
    <mergeCell ref="A5:A7"/>
    <mergeCell ref="B5:B7"/>
    <mergeCell ref="C5:C7"/>
    <mergeCell ref="D5:D7"/>
    <mergeCell ref="E5:E7"/>
    <mergeCell ref="V5:V7"/>
    <mergeCell ref="W5:W7"/>
    <mergeCell ref="N5:N7"/>
    <mergeCell ref="O5:O7"/>
    <mergeCell ref="P5:P7"/>
    <mergeCell ref="R5:R7"/>
    <mergeCell ref="S5:S7"/>
    <mergeCell ref="T5:T7"/>
    <mergeCell ref="U5:U7"/>
    <mergeCell ref="P8:P10"/>
    <mergeCell ref="P11:P13"/>
    <mergeCell ref="Q5:Q7"/>
    <mergeCell ref="P14:P16"/>
    <mergeCell ref="Q8:Q10"/>
    <mergeCell ref="Q11:Q13"/>
    <mergeCell ref="Q14:Q16"/>
    <mergeCell ref="P20:P22"/>
    <mergeCell ref="Q20:Q22"/>
    <mergeCell ref="Q56:Q58"/>
    <mergeCell ref="P56:P58"/>
    <mergeCell ref="P59:P61"/>
    <mergeCell ref="Q59:Q61"/>
    <mergeCell ref="Q62:Q64"/>
    <mergeCell ref="P62:P64"/>
    <mergeCell ref="P23:P25"/>
    <mergeCell ref="P26:P28"/>
    <mergeCell ref="Q23:Q25"/>
    <mergeCell ref="Q26:Q28"/>
    <mergeCell ref="P29:P31"/>
    <mergeCell ref="P32:P34"/>
    <mergeCell ref="Q32:Q34"/>
    <mergeCell ref="Q29:Q31"/>
    <mergeCell ref="P53:P55"/>
    <mergeCell ref="Q53:Q55"/>
    <mergeCell ref="S53:S55"/>
    <mergeCell ref="S56:S58"/>
    <mergeCell ref="S59:S61"/>
    <mergeCell ref="S62:S64"/>
    <mergeCell ref="S8:S10"/>
    <mergeCell ref="S11:S13"/>
    <mergeCell ref="S14:S16"/>
    <mergeCell ref="S17:S19"/>
    <mergeCell ref="S20:S22"/>
    <mergeCell ref="S23:S25"/>
    <mergeCell ref="S26:S28"/>
    <mergeCell ref="S29:S31"/>
    <mergeCell ref="S32:S34"/>
    <mergeCell ref="T53:T55"/>
    <mergeCell ref="T56:T58"/>
    <mergeCell ref="T59:T61"/>
    <mergeCell ref="T62:T64"/>
    <mergeCell ref="T8:T10"/>
    <mergeCell ref="T11:T13"/>
    <mergeCell ref="T14:T16"/>
    <mergeCell ref="T17:T19"/>
    <mergeCell ref="T20:T22"/>
    <mergeCell ref="T23:T25"/>
    <mergeCell ref="T26:T28"/>
    <mergeCell ref="T29:T31"/>
    <mergeCell ref="T32:T34"/>
    <mergeCell ref="U53:U55"/>
    <mergeCell ref="U56:U58"/>
    <mergeCell ref="U59:U61"/>
    <mergeCell ref="U62:U64"/>
    <mergeCell ref="U8:U10"/>
    <mergeCell ref="U11:U13"/>
    <mergeCell ref="U14:U16"/>
    <mergeCell ref="U17:U19"/>
    <mergeCell ref="U20:U22"/>
    <mergeCell ref="U23:U25"/>
    <mergeCell ref="U26:U28"/>
    <mergeCell ref="U29:U31"/>
    <mergeCell ref="U32:U34"/>
    <mergeCell ref="L35:L37"/>
    <mergeCell ref="M35:M37"/>
    <mergeCell ref="N35:N37"/>
    <mergeCell ref="O35:O37"/>
    <mergeCell ref="P35:P37"/>
    <mergeCell ref="Q35:Q37"/>
    <mergeCell ref="R35:R37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S35:S37"/>
    <mergeCell ref="T35:T37"/>
    <mergeCell ref="U35:U37"/>
    <mergeCell ref="V35:V37"/>
    <mergeCell ref="B38:B40"/>
    <mergeCell ref="C38:C40"/>
    <mergeCell ref="D38:D40"/>
    <mergeCell ref="E38:E40"/>
    <mergeCell ref="F38:F40"/>
    <mergeCell ref="G38:G40"/>
    <mergeCell ref="H38:H40"/>
    <mergeCell ref="I38:I40"/>
    <mergeCell ref="J38:J40"/>
    <mergeCell ref="K38:K40"/>
    <mergeCell ref="L38:L40"/>
    <mergeCell ref="M38:M40"/>
    <mergeCell ref="N38:N40"/>
    <mergeCell ref="O38:O40"/>
    <mergeCell ref="P38:P40"/>
    <mergeCell ref="Q38:Q40"/>
    <mergeCell ref="R38:R40"/>
    <mergeCell ref="S38:S40"/>
    <mergeCell ref="T38:T40"/>
    <mergeCell ref="K35:K37"/>
    <mergeCell ref="U38:U40"/>
    <mergeCell ref="V38:V40"/>
    <mergeCell ref="B41:B43"/>
    <mergeCell ref="C41:C43"/>
    <mergeCell ref="D41:D43"/>
    <mergeCell ref="E41:E43"/>
    <mergeCell ref="F41:F43"/>
    <mergeCell ref="G41:G43"/>
    <mergeCell ref="H41:H43"/>
    <mergeCell ref="I41:I43"/>
    <mergeCell ref="J41:J43"/>
    <mergeCell ref="K41:K43"/>
    <mergeCell ref="L41:L43"/>
    <mergeCell ref="M41:M43"/>
    <mergeCell ref="N41:N43"/>
    <mergeCell ref="O41:O43"/>
    <mergeCell ref="P41:P43"/>
    <mergeCell ref="Q41:Q43"/>
    <mergeCell ref="R41:R43"/>
    <mergeCell ref="S41:S43"/>
    <mergeCell ref="T41:T43"/>
    <mergeCell ref="U41:U43"/>
    <mergeCell ref="V41:V43"/>
    <mergeCell ref="L44:L46"/>
    <mergeCell ref="M44:M46"/>
    <mergeCell ref="N44:N46"/>
    <mergeCell ref="O44:O46"/>
    <mergeCell ref="P44:P46"/>
    <mergeCell ref="Q44:Q46"/>
    <mergeCell ref="R44:R46"/>
    <mergeCell ref="B44:B46"/>
    <mergeCell ref="C44:C46"/>
    <mergeCell ref="D44:D46"/>
    <mergeCell ref="E44:E46"/>
    <mergeCell ref="F44:F46"/>
    <mergeCell ref="G44:G46"/>
    <mergeCell ref="H44:H46"/>
    <mergeCell ref="I44:I46"/>
    <mergeCell ref="J44:J46"/>
    <mergeCell ref="S44:S46"/>
    <mergeCell ref="T44:T46"/>
    <mergeCell ref="U44:U46"/>
    <mergeCell ref="V44:V46"/>
    <mergeCell ref="B47:B49"/>
    <mergeCell ref="C47:C49"/>
    <mergeCell ref="D47:D49"/>
    <mergeCell ref="E47:E49"/>
    <mergeCell ref="F47:F49"/>
    <mergeCell ref="G47:G49"/>
    <mergeCell ref="H47:H49"/>
    <mergeCell ref="I47:I49"/>
    <mergeCell ref="J47:J49"/>
    <mergeCell ref="K47:K49"/>
    <mergeCell ref="L47:L49"/>
    <mergeCell ref="M47:M49"/>
    <mergeCell ref="N47:N49"/>
    <mergeCell ref="O47:O49"/>
    <mergeCell ref="P47:P49"/>
    <mergeCell ref="Q47:Q49"/>
    <mergeCell ref="R47:R49"/>
    <mergeCell ref="S47:S49"/>
    <mergeCell ref="T47:T49"/>
    <mergeCell ref="K44:K46"/>
    <mergeCell ref="U47:U49"/>
    <mergeCell ref="V47:V49"/>
    <mergeCell ref="B50:B52"/>
    <mergeCell ref="C50:C52"/>
    <mergeCell ref="D50:D52"/>
    <mergeCell ref="E50:E52"/>
    <mergeCell ref="F50:F52"/>
    <mergeCell ref="G50:G52"/>
    <mergeCell ref="H50:H52"/>
    <mergeCell ref="I50:I52"/>
    <mergeCell ref="J50:J52"/>
    <mergeCell ref="K50:K52"/>
    <mergeCell ref="L50:L52"/>
    <mergeCell ref="M50:M52"/>
    <mergeCell ref="N50:N52"/>
    <mergeCell ref="O50:O52"/>
    <mergeCell ref="P50:P52"/>
    <mergeCell ref="Q50:Q52"/>
    <mergeCell ref="R50:R52"/>
    <mergeCell ref="S50:S52"/>
    <mergeCell ref="T50:T52"/>
    <mergeCell ref="U50:U52"/>
    <mergeCell ref="V50:V52"/>
  </mergeCells>
  <pageMargins left="0.511811024" right="0.511811024" top="0.78740157499999996" bottom="0.85250000000000004" header="0.31496062000000002" footer="0.31496062000000002"/>
  <pageSetup paperSize="9" scale="46" orientation="landscape" r:id="rId1"/>
  <headerFooter>
    <oddFooter>&amp;L&amp;"Verdana,Negrito"&amp;8Fundação Florestal&amp;"Verdana,Normal" | Av. Prof. Frederico Hermann Jr 345 | CEP 05459-010
São Paulo, SP | Fone (11) 2997-5000 | www.fflorestal.sp.gov.br
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17</vt:i4>
      </vt:variant>
    </vt:vector>
  </HeadingPairs>
  <TitlesOfParts>
    <vt:vector size="27" baseType="lpstr">
      <vt:lpstr>Cronograma Geral</vt:lpstr>
      <vt:lpstr>Resumo</vt:lpstr>
      <vt:lpstr>Serviços Gerais</vt:lpstr>
      <vt:lpstr>Arquitetura</vt:lpstr>
      <vt:lpstr>Instalações Elétricas</vt:lpstr>
      <vt:lpstr>Rede de Dados e Telefonia</vt:lpstr>
      <vt:lpstr>Hidraulica</vt:lpstr>
      <vt:lpstr>Climatização</vt:lpstr>
      <vt:lpstr>sem cod. CPOS</vt:lpstr>
      <vt:lpstr>calculo BDI</vt:lpstr>
      <vt:lpstr>Arquitetura!Area_de_impressao</vt:lpstr>
      <vt:lpstr>'calculo BDI'!Area_de_impressao</vt:lpstr>
      <vt:lpstr>Climatização!Area_de_impressao</vt:lpstr>
      <vt:lpstr>'Cronograma Geral'!Area_de_impressao</vt:lpstr>
      <vt:lpstr>Hidraulica!Area_de_impressao</vt:lpstr>
      <vt:lpstr>'Instalações Elétricas'!Area_de_impressao</vt:lpstr>
      <vt:lpstr>'Rede de Dados e Telefonia'!Area_de_impressao</vt:lpstr>
      <vt:lpstr>Resumo!Area_de_impressao</vt:lpstr>
      <vt:lpstr>'sem cod. CPOS'!Area_de_impressao</vt:lpstr>
      <vt:lpstr>'Serviços Gerais'!Area_de_impressao</vt:lpstr>
      <vt:lpstr>Arquitetura!Titulos_de_impressao</vt:lpstr>
      <vt:lpstr>Climatização!Titulos_de_impressao</vt:lpstr>
      <vt:lpstr>'Cronograma Geral'!Titulos_de_impressao</vt:lpstr>
      <vt:lpstr>Hidraulica!Titulos_de_impressao</vt:lpstr>
      <vt:lpstr>'Instalações Elétricas'!Titulos_de_impressao</vt:lpstr>
      <vt:lpstr>'Rede de Dados e Telefonia'!Titulos_de_impressao</vt:lpstr>
      <vt:lpstr>'Serviços Gerais'!Titulos_de_impressao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Parque estadual serra do mar</dc:title>
  <dc:subject>CV - orçamento</dc:subject>
  <dc:creator>Rodrigo</dc:creator>
  <cp:lastModifiedBy>Eliana Aparecida Silva</cp:lastModifiedBy>
  <cp:lastPrinted>2019-05-24T19:14:54Z</cp:lastPrinted>
  <dcterms:created xsi:type="dcterms:W3CDTF">1998-09-28T13:48:05Z</dcterms:created>
  <dcterms:modified xsi:type="dcterms:W3CDTF">2019-06-25T18:37:54Z</dcterms:modified>
</cp:coreProperties>
</file>