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PREGÃO ELETRÔNICO\FF\1049-18 - OBSERVAÇÃO DE AVES UC'S\Observação de aves\Cronograma e orçamento\"/>
    </mc:Choice>
  </mc:AlternateContent>
  <bookViews>
    <workbookView xWindow="0" yWindow="0" windowWidth="20490" windowHeight="7545" tabRatio="548" activeTab="2"/>
  </bookViews>
  <sheets>
    <sheet name="Cronograma" sheetId="29" r:id="rId1"/>
    <sheet name="Equipamento por unidade" sheetId="31" r:id="rId2"/>
    <sheet name="Custo por equipamento" sheetId="26" r:id="rId3"/>
  </sheets>
  <externalReferences>
    <externalReference r:id="rId4"/>
  </externalReferences>
  <definedNames>
    <definedName name="_xlnm.Print_Area" localSheetId="0">Cronograma!$A$1:$K$82</definedName>
    <definedName name="_xlnm.Print_Area" localSheetId="2">'Custo por equipamento'!$A$1:$I$138</definedName>
    <definedName name="_xlnm.Print_Titles" localSheetId="2">'Custo por equipamento'!#REF!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1" i="29" l="1"/>
  <c r="K79" i="29"/>
  <c r="K78" i="29"/>
  <c r="K77" i="29"/>
  <c r="K76" i="29"/>
  <c r="K75" i="29"/>
  <c r="K74" i="29"/>
  <c r="K73" i="29"/>
  <c r="K71" i="29"/>
  <c r="K70" i="29"/>
  <c r="K69" i="29"/>
  <c r="K68" i="29"/>
  <c r="K67" i="29"/>
  <c r="K64" i="29"/>
  <c r="K63" i="29"/>
  <c r="K62" i="29"/>
  <c r="K61" i="29"/>
  <c r="K60" i="29"/>
  <c r="K59" i="29"/>
  <c r="K58" i="29"/>
  <c r="K55" i="29"/>
  <c r="K54" i="29"/>
  <c r="K53" i="29"/>
  <c r="K52" i="29"/>
  <c r="K51" i="29"/>
  <c r="K50" i="29"/>
  <c r="K47" i="29"/>
  <c r="K46" i="29"/>
  <c r="K45" i="29"/>
  <c r="K44" i="29"/>
  <c r="K43" i="29"/>
  <c r="K42" i="29"/>
  <c r="K41" i="29"/>
  <c r="K38" i="29"/>
  <c r="K37" i="29"/>
  <c r="K36" i="29"/>
  <c r="K35" i="29"/>
  <c r="K34" i="29"/>
  <c r="K33" i="29"/>
  <c r="K32" i="29"/>
  <c r="K29" i="29"/>
  <c r="K28" i="29"/>
  <c r="K27" i="29"/>
  <c r="K26" i="29"/>
  <c r="K25" i="29"/>
  <c r="K24" i="29"/>
  <c r="K23" i="29"/>
  <c r="K14" i="29"/>
  <c r="K20" i="29"/>
  <c r="K19" i="29"/>
  <c r="K18" i="29"/>
  <c r="K17" i="29"/>
  <c r="K16" i="29"/>
  <c r="K15" i="29"/>
  <c r="K11" i="29"/>
  <c r="K10" i="29"/>
  <c r="K9" i="29"/>
  <c r="K8" i="29"/>
  <c r="K7" i="29"/>
  <c r="K6" i="29"/>
  <c r="K5" i="29"/>
  <c r="B14" i="31"/>
  <c r="B4" i="31" s="1"/>
  <c r="K49" i="29" l="1"/>
  <c r="K31" i="29"/>
  <c r="I138" i="26"/>
  <c r="I137" i="26"/>
  <c r="I136" i="26"/>
  <c r="I135" i="26"/>
  <c r="K4" i="29"/>
  <c r="K13" i="29"/>
  <c r="K22" i="29"/>
  <c r="K40" i="29"/>
  <c r="K57" i="29"/>
  <c r="K66" i="29"/>
  <c r="K72" i="29"/>
  <c r="N81" i="29"/>
  <c r="B79" i="29"/>
  <c r="B78" i="29"/>
  <c r="B77" i="29"/>
  <c r="B76" i="29"/>
  <c r="B75" i="29"/>
  <c r="B74" i="29"/>
  <c r="B73" i="29"/>
  <c r="N72" i="29"/>
  <c r="B72" i="29"/>
  <c r="B71" i="29"/>
  <c r="B70" i="29"/>
  <c r="B69" i="29"/>
  <c r="B68" i="29"/>
  <c r="B67" i="29"/>
  <c r="N66" i="29"/>
  <c r="B66" i="29"/>
  <c r="A65" i="29"/>
  <c r="B64" i="29"/>
  <c r="B63" i="29"/>
  <c r="B62" i="29"/>
  <c r="B61" i="29"/>
  <c r="B60" i="29"/>
  <c r="B59" i="29"/>
  <c r="B58" i="29"/>
  <c r="N57" i="29"/>
  <c r="B57" i="29"/>
  <c r="B56" i="29"/>
  <c r="A56" i="29"/>
  <c r="B55" i="29"/>
  <c r="B54" i="29"/>
  <c r="B53" i="29"/>
  <c r="B52" i="29"/>
  <c r="B51" i="29"/>
  <c r="B50" i="29"/>
  <c r="N49" i="29"/>
  <c r="B49" i="29"/>
  <c r="A48" i="29"/>
  <c r="B47" i="29"/>
  <c r="B38" i="29" s="1"/>
  <c r="B46" i="29"/>
  <c r="B37" i="29" s="1"/>
  <c r="B45" i="29"/>
  <c r="B44" i="29"/>
  <c r="B43" i="29"/>
  <c r="B34" i="29" s="1"/>
  <c r="B42" i="29"/>
  <c r="B33" i="29" s="1"/>
  <c r="B41" i="29"/>
  <c r="B32" i="29" s="1"/>
  <c r="N40" i="29"/>
  <c r="B40" i="29"/>
  <c r="A39" i="29"/>
  <c r="B36" i="29"/>
  <c r="B35" i="29"/>
  <c r="N31" i="29"/>
  <c r="B31" i="29"/>
  <c r="B29" i="29"/>
  <c r="B28" i="29"/>
  <c r="B27" i="29"/>
  <c r="B26" i="29"/>
  <c r="B25" i="29"/>
  <c r="B24" i="29"/>
  <c r="B23" i="29"/>
  <c r="N22" i="29"/>
  <c r="B22" i="29"/>
  <c r="A21" i="29"/>
  <c r="B20" i="29"/>
  <c r="B19" i="29"/>
  <c r="O18" i="29"/>
  <c r="B18" i="29"/>
  <c r="B17" i="29"/>
  <c r="B16" i="29"/>
  <c r="B15" i="29"/>
  <c r="B14" i="29"/>
  <c r="N13" i="29"/>
  <c r="B13" i="29"/>
  <c r="A12" i="29"/>
  <c r="B11" i="29"/>
  <c r="B10" i="29"/>
  <c r="B9" i="29"/>
  <c r="B8" i="29"/>
  <c r="B7" i="29"/>
  <c r="B6" i="29"/>
  <c r="B5" i="29"/>
  <c r="B4" i="29"/>
  <c r="A3" i="29"/>
  <c r="K82" i="29" l="1"/>
  <c r="L40" i="29" l="1"/>
  <c r="K83" i="29"/>
  <c r="K84" i="29" s="1"/>
  <c r="L66" i="29"/>
  <c r="H79" i="29"/>
  <c r="L79" i="29" s="1"/>
  <c r="G78" i="29"/>
  <c r="F75" i="29"/>
  <c r="F70" i="29"/>
  <c r="G69" i="29"/>
  <c r="D67" i="29"/>
  <c r="G62" i="29"/>
  <c r="H61" i="29"/>
  <c r="L61" i="29" s="1"/>
  <c r="H60" i="29"/>
  <c r="E58" i="29"/>
  <c r="G52" i="29"/>
  <c r="G51" i="29"/>
  <c r="H47" i="29"/>
  <c r="L47" i="29" s="1"/>
  <c r="G46" i="29"/>
  <c r="F43" i="29"/>
  <c r="J38" i="29"/>
  <c r="I37" i="29"/>
  <c r="H34" i="29"/>
  <c r="E28" i="29"/>
  <c r="D25" i="29"/>
  <c r="D24" i="29"/>
  <c r="E19" i="29"/>
  <c r="E16" i="29"/>
  <c r="J11" i="29"/>
  <c r="L11" i="29" s="1"/>
  <c r="I10" i="29"/>
  <c r="H7" i="29"/>
  <c r="F5" i="29"/>
  <c r="H10" i="29"/>
  <c r="G7" i="29"/>
  <c r="G6" i="29"/>
  <c r="F78" i="29"/>
  <c r="E75" i="29"/>
  <c r="E74" i="29"/>
  <c r="F69" i="29"/>
  <c r="F68" i="29"/>
  <c r="I64" i="29"/>
  <c r="L64" i="29" s="1"/>
  <c r="H63" i="29"/>
  <c r="G60" i="29"/>
  <c r="F51" i="29"/>
  <c r="F46" i="29"/>
  <c r="E43" i="29"/>
  <c r="E42" i="29"/>
  <c r="H37" i="29"/>
  <c r="G34" i="29"/>
  <c r="G33" i="29"/>
  <c r="D28" i="29"/>
  <c r="F27" i="29"/>
  <c r="C24" i="29"/>
  <c r="G23" i="29"/>
  <c r="D19" i="29"/>
  <c r="D16" i="29"/>
  <c r="D15" i="29"/>
  <c r="E78" i="29"/>
  <c r="G77" i="29"/>
  <c r="D74" i="29"/>
  <c r="H73" i="29"/>
  <c r="E68" i="29"/>
  <c r="G63" i="29"/>
  <c r="F60" i="29"/>
  <c r="F59" i="29"/>
  <c r="I55" i="29"/>
  <c r="L55" i="29" s="1"/>
  <c r="H54" i="29"/>
  <c r="E51" i="29"/>
  <c r="I50" i="29"/>
  <c r="E46" i="29"/>
  <c r="G45" i="29"/>
  <c r="D42" i="29"/>
  <c r="H41" i="29"/>
  <c r="G37" i="29"/>
  <c r="I36" i="29"/>
  <c r="F33" i="29"/>
  <c r="J32" i="29"/>
  <c r="E27" i="29"/>
  <c r="F26" i="29"/>
  <c r="L26" i="29" s="1"/>
  <c r="F25" i="29"/>
  <c r="C23" i="29"/>
  <c r="F18" i="29"/>
  <c r="C15" i="29"/>
  <c r="G14" i="29"/>
  <c r="G10" i="29"/>
  <c r="I9" i="29"/>
  <c r="F6" i="29"/>
  <c r="L6" i="29" s="1"/>
  <c r="F77" i="29"/>
  <c r="G76" i="29"/>
  <c r="L76" i="29" s="1"/>
  <c r="G75" i="29"/>
  <c r="D73" i="29"/>
  <c r="H71" i="29"/>
  <c r="L71" i="29" s="1"/>
  <c r="G70" i="29"/>
  <c r="D68" i="29"/>
  <c r="H67" i="29"/>
  <c r="F63" i="29"/>
  <c r="E59" i="29"/>
  <c r="L59" i="29" s="1"/>
  <c r="H62" i="29"/>
  <c r="G44" i="29"/>
  <c r="L44" i="29" s="1"/>
  <c r="F28" i="29"/>
  <c r="E25" i="29"/>
  <c r="F16" i="29"/>
  <c r="I8" i="29"/>
  <c r="L8" i="29" s="1"/>
  <c r="H9" i="29"/>
  <c r="G54" i="29"/>
  <c r="I34" i="29"/>
  <c r="I7" i="29"/>
  <c r="L4" i="29"/>
  <c r="I58" i="29"/>
  <c r="H52" i="29"/>
  <c r="F45" i="29"/>
  <c r="L45" i="29" s="1"/>
  <c r="D41" i="29"/>
  <c r="I35" i="29"/>
  <c r="G29" i="29"/>
  <c r="L29" i="29" s="1"/>
  <c r="F17" i="29"/>
  <c r="L17" i="29" s="1"/>
  <c r="J5" i="29"/>
  <c r="G43" i="29"/>
  <c r="F32" i="29"/>
  <c r="I53" i="29"/>
  <c r="L53" i="29" s="1"/>
  <c r="E50" i="29"/>
  <c r="F19" i="29"/>
  <c r="E18" i="29"/>
  <c r="C14" i="29"/>
  <c r="H36" i="29"/>
  <c r="G20" i="29"/>
  <c r="L20" i="29" s="1"/>
  <c r="L13" i="29"/>
  <c r="L49" i="29"/>
  <c r="L31" i="29"/>
  <c r="L72" i="29"/>
  <c r="L22" i="29"/>
  <c r="L57" i="29"/>
  <c r="L69" i="29" l="1"/>
  <c r="L73" i="29"/>
  <c r="L15" i="29"/>
  <c r="L50" i="29"/>
  <c r="J81" i="29"/>
  <c r="L41" i="29"/>
  <c r="L77" i="29"/>
  <c r="L51" i="29"/>
  <c r="L10" i="29"/>
  <c r="L24" i="29"/>
  <c r="L52" i="29"/>
  <c r="L62" i="29"/>
  <c r="L81" i="29"/>
  <c r="L54" i="29"/>
  <c r="L27" i="29"/>
  <c r="L46" i="29"/>
  <c r="L78" i="29"/>
  <c r="L35" i="29"/>
  <c r="L37" i="29"/>
  <c r="L18" i="29"/>
  <c r="L32" i="29"/>
  <c r="L68" i="29"/>
  <c r="L19" i="29"/>
  <c r="L28" i="29"/>
  <c r="L25" i="29"/>
  <c r="L38" i="29"/>
  <c r="L70" i="29"/>
  <c r="L43" i="29"/>
  <c r="M5" i="29"/>
  <c r="N4" i="29" s="1"/>
  <c r="L5" i="29"/>
  <c r="F81" i="29"/>
  <c r="L36" i="29"/>
  <c r="J82" i="29"/>
  <c r="J83" i="29" s="1"/>
  <c r="J84" i="29" s="1"/>
  <c r="L9" i="29"/>
  <c r="L63" i="29"/>
  <c r="L23" i="29"/>
  <c r="D81" i="29"/>
  <c r="L34" i="29"/>
  <c r="L75" i="29"/>
  <c r="G81" i="29"/>
  <c r="H81" i="29"/>
  <c r="L58" i="29"/>
  <c r="L67" i="29"/>
  <c r="E81" i="29"/>
  <c r="L14" i="29"/>
  <c r="C81" i="29"/>
  <c r="I81" i="29"/>
  <c r="L33" i="29"/>
  <c r="L42" i="29"/>
  <c r="L60" i="29"/>
  <c r="L74" i="29"/>
  <c r="L16" i="29"/>
  <c r="L7" i="29"/>
  <c r="H82" i="29" l="1"/>
  <c r="H83" i="29" s="1"/>
  <c r="E82" i="29"/>
  <c r="E83" i="29" s="1"/>
  <c r="G82" i="29"/>
  <c r="D82" i="29"/>
  <c r="D83" i="29" s="1"/>
  <c r="I82" i="29"/>
  <c r="I83" i="29" s="1"/>
  <c r="I84" i="29" s="1"/>
  <c r="F82" i="29"/>
  <c r="F83" i="29" s="1"/>
  <c r="C82" i="29"/>
  <c r="C83" i="29" s="1"/>
  <c r="M81" i="29"/>
  <c r="E84" i="29" l="1"/>
  <c r="C84" i="29"/>
  <c r="H84" i="29"/>
  <c r="G83" i="29"/>
  <c r="G84" i="29" s="1"/>
  <c r="F84" i="29"/>
  <c r="M82" i="29"/>
  <c r="D84" i="29"/>
  <c r="M84" i="29" l="1"/>
  <c r="M83" i="29"/>
  <c r="I85" i="26" l="1"/>
  <c r="I43" i="26"/>
  <c r="I5" i="26"/>
  <c r="I51" i="26"/>
  <c r="I52" i="26"/>
  <c r="I53" i="26"/>
  <c r="I54" i="26"/>
  <c r="I55" i="26"/>
  <c r="I56" i="26"/>
  <c r="I57" i="26"/>
  <c r="I19" i="26"/>
  <c r="I99" i="26"/>
  <c r="I98" i="26"/>
  <c r="I97" i="26"/>
  <c r="I96" i="26"/>
  <c r="I95" i="26"/>
  <c r="I94" i="26"/>
  <c r="I93" i="26"/>
  <c r="I121" i="26" l="1"/>
  <c r="I124" i="26"/>
  <c r="I123" i="26"/>
  <c r="I122" i="26"/>
  <c r="I116" i="26"/>
  <c r="I115" i="26"/>
  <c r="I114" i="26"/>
  <c r="I113" i="26"/>
  <c r="I112" i="26"/>
  <c r="I111" i="26"/>
  <c r="I110" i="26"/>
  <c r="I109" i="26" l="1"/>
  <c r="I88" i="26" l="1"/>
  <c r="I131" i="26"/>
  <c r="I130" i="26"/>
  <c r="I127" i="26"/>
  <c r="I120" i="26"/>
  <c r="I119" i="26" s="1"/>
  <c r="I107" i="26"/>
  <c r="I106" i="26"/>
  <c r="I105" i="26"/>
  <c r="I104" i="26"/>
  <c r="I90" i="26"/>
  <c r="I89" i="26"/>
  <c r="I87" i="26"/>
  <c r="I86" i="26"/>
  <c r="I84" i="26"/>
  <c r="I70" i="26"/>
  <c r="I69" i="26" s="1"/>
  <c r="I78" i="26"/>
  <c r="I77" i="26"/>
  <c r="I74" i="26"/>
  <c r="I67" i="26"/>
  <c r="I66" i="26"/>
  <c r="I65" i="26"/>
  <c r="I64" i="26"/>
  <c r="I63" i="26"/>
  <c r="I62" i="26"/>
  <c r="I61" i="26"/>
  <c r="I60" i="26"/>
  <c r="I50" i="26"/>
  <c r="I49" i="26" s="1"/>
  <c r="I47" i="26"/>
  <c r="I46" i="26"/>
  <c r="I45" i="26"/>
  <c r="I44" i="26"/>
  <c r="I42" i="26"/>
  <c r="I36" i="26"/>
  <c r="I35" i="26"/>
  <c r="I32" i="26"/>
  <c r="I29" i="26"/>
  <c r="I13" i="26"/>
  <c r="I14" i="26"/>
  <c r="I15" i="26"/>
  <c r="I16" i="26"/>
  <c r="I17" i="26"/>
  <c r="I18" i="26"/>
  <c r="I12" i="26"/>
  <c r="I7" i="26"/>
  <c r="I8" i="26"/>
  <c r="I9" i="26"/>
  <c r="I28" i="26"/>
  <c r="I27" i="26"/>
  <c r="I26" i="26"/>
  <c r="I25" i="26"/>
  <c r="I11" i="26" l="1"/>
  <c r="I34" i="26"/>
  <c r="I41" i="26"/>
  <c r="I76" i="26"/>
  <c r="I129" i="26"/>
  <c r="I83" i="26"/>
  <c r="I92" i="26"/>
  <c r="I103" i="26"/>
  <c r="I59" i="26"/>
  <c r="I24" i="26"/>
  <c r="I23" i="26"/>
  <c r="I22" i="26"/>
  <c r="I6" i="26"/>
  <c r="I4" i="26"/>
  <c r="I73" i="26" l="1"/>
  <c r="I126" i="26"/>
  <c r="I31" i="26"/>
  <c r="I21" i="26"/>
  <c r="I3" i="26"/>
  <c r="I133" i="26" l="1"/>
  <c r="E4" i="31" s="1"/>
  <c r="I80" i="26"/>
  <c r="B13" i="31" s="1"/>
  <c r="C4" i="31"/>
  <c r="I4" i="31"/>
  <c r="H4" i="31"/>
  <c r="F4" i="31"/>
  <c r="D4" i="31"/>
  <c r="I38" i="26"/>
  <c r="B12" i="31" s="1"/>
  <c r="G3" i="31" l="1"/>
  <c r="J4" i="31"/>
  <c r="I2" i="31"/>
  <c r="J3" i="31" l="1"/>
  <c r="J2" i="31"/>
  <c r="J5" i="31" l="1"/>
  <c r="J6" i="31" s="1"/>
  <c r="J7" i="31" s="1"/>
  <c r="J8" i="31" s="1"/>
</calcChain>
</file>

<file path=xl/sharedStrings.xml><?xml version="1.0" encoding="utf-8"?>
<sst xmlns="http://schemas.openxmlformats.org/spreadsheetml/2006/main" count="460" uniqueCount="173">
  <si>
    <t>1.1</t>
  </si>
  <si>
    <t>m²</t>
  </si>
  <si>
    <t>m³</t>
  </si>
  <si>
    <t>un</t>
  </si>
  <si>
    <t>m</t>
  </si>
  <si>
    <t>2.1</t>
  </si>
  <si>
    <t>2.2</t>
  </si>
  <si>
    <t>2.3</t>
  </si>
  <si>
    <t>1.3</t>
  </si>
  <si>
    <t>1.2</t>
  </si>
  <si>
    <t>Item</t>
  </si>
  <si>
    <t>Descrição</t>
  </si>
  <si>
    <t>Un</t>
  </si>
  <si>
    <t>Total</t>
  </si>
  <si>
    <t>Cod. CPOS</t>
  </si>
  <si>
    <t>1.4</t>
  </si>
  <si>
    <t>1.5</t>
  </si>
  <si>
    <t>Qt</t>
  </si>
  <si>
    <t>PUMat</t>
  </si>
  <si>
    <t>PUMObra</t>
  </si>
  <si>
    <t>PUServ</t>
  </si>
  <si>
    <t>Valor</t>
  </si>
  <si>
    <t>BDI (30%)</t>
  </si>
  <si>
    <t>02.09.030</t>
  </si>
  <si>
    <t>Limpeza manual do terreno, inclusive troncos até 5 cm de diâmetro, com caminhão à disposição, dentro da obra, até o raio de 1,0 km</t>
  </si>
  <si>
    <t>Início de Obra</t>
  </si>
  <si>
    <t>Total + Administração + BDI</t>
  </si>
  <si>
    <t>Adminstração (10%)</t>
  </si>
  <si>
    <t>Embasamento</t>
  </si>
  <si>
    <t>14.01.020</t>
  </si>
  <si>
    <t>Alvenaria de embasamento em tijolo maciço comum</t>
  </si>
  <si>
    <t>06.02.020</t>
  </si>
  <si>
    <t>Escavação manual em solo de 1ª e 2ª categoria em vala ou cava até 1,50 m</t>
  </si>
  <si>
    <t>32.16.030</t>
  </si>
  <si>
    <t>Impermeabilização em membrana de asfalto modificado com elastômeros, na cor preta</t>
  </si>
  <si>
    <t>11.03.090</t>
  </si>
  <si>
    <t>Concreto preparado no local, fck = 20,0 MPa</t>
  </si>
  <si>
    <t>09.01.020</t>
  </si>
  <si>
    <t>Forma em madeira comum para fundação</t>
  </si>
  <si>
    <t>10.01.040</t>
  </si>
  <si>
    <t>Armadura em barra de aço CA-50 (A ou B) fyk = 500 MPa</t>
  </si>
  <si>
    <t>kg</t>
  </si>
  <si>
    <t>Madeiras</t>
  </si>
  <si>
    <t>Pintura e acabamentos</t>
  </si>
  <si>
    <t>MERCADO</t>
  </si>
  <si>
    <t>3.1</t>
  </si>
  <si>
    <t>3.2</t>
  </si>
  <si>
    <t>3.3</t>
  </si>
  <si>
    <t>3.4</t>
  </si>
  <si>
    <t>B.01.000.010130</t>
  </si>
  <si>
    <t>Marceneiro</t>
  </si>
  <si>
    <t>h</t>
  </si>
  <si>
    <t>Piso em pinus autoclavado tipo deck 20 x 90 x 3000mm</t>
  </si>
  <si>
    <t>Vigas em pinus autoclavado conforme projeto 5,5 x 11,5 x 3,0m</t>
  </si>
  <si>
    <t>Caibros em pinus autoclavado para acabamentos entre elementos de projeto 6 x 8cm</t>
  </si>
  <si>
    <t>B.01.000.010111</t>
  </si>
  <si>
    <t>Carpinteiro</t>
  </si>
  <si>
    <t>B.01.000.010112</t>
  </si>
  <si>
    <t>Ajudante de carpinteiro</t>
  </si>
  <si>
    <t>Pregos e ligações metálicas necessárias</t>
  </si>
  <si>
    <t>29.01.210</t>
  </si>
  <si>
    <t>Elementos em aço galvanizado - pregos, parafusos, cantoneiras conforme necessidade do projeto</t>
  </si>
  <si>
    <t>01.17.031</t>
  </si>
  <si>
    <t>Projeto executivo de arquitetura em formato A1 especificar projeto as built do equipamento</t>
  </si>
  <si>
    <t>03.10.100</t>
  </si>
  <si>
    <t>Lixamento necessário nas peças de madeira - preparo pintura</t>
  </si>
  <si>
    <t>33.05.010</t>
  </si>
  <si>
    <t>Verniz fungicida para madeira</t>
  </si>
  <si>
    <t>05.04.060</t>
  </si>
  <si>
    <t>Transporte manual horizontal e/ou vertical de entulho até o local de despejo - ensacado</t>
  </si>
  <si>
    <t>05.07.070</t>
  </si>
  <si>
    <t>Remoção de entulho de obra com caçamba metálica - gesso e/ou drywall</t>
  </si>
  <si>
    <t>subtotal equipamento</t>
  </si>
  <si>
    <t>2.4</t>
  </si>
  <si>
    <t>2.5</t>
  </si>
  <si>
    <t>2.6</t>
  </si>
  <si>
    <t>3.5</t>
  </si>
  <si>
    <t>3.6</t>
  </si>
  <si>
    <t>3.7</t>
  </si>
  <si>
    <t>4.1</t>
  </si>
  <si>
    <t>5.1</t>
  </si>
  <si>
    <t>5.2</t>
  </si>
  <si>
    <t>11.05.060</t>
  </si>
  <si>
    <t>Concreto ciclópico - fornecimento e aplicação (com 30% de pedra rachão), concreto fck 15,0 Mpa</t>
  </si>
  <si>
    <t>20.10.120</t>
  </si>
  <si>
    <t>Cordão de madeira arremates</t>
  </si>
  <si>
    <t>02.10.020</t>
  </si>
  <si>
    <t>Locação do equipamento</t>
  </si>
  <si>
    <t>Tábua beneficiada em ínus autoclavado para elevações em madeira 3,5 x 19 x 3</t>
  </si>
  <si>
    <t>HIDE/BLIND ELEVAÇÃO MADEIRA</t>
  </si>
  <si>
    <t>HIDE/BLIND COM TELA</t>
  </si>
  <si>
    <t>Tela de proteção/camuflagen</t>
  </si>
  <si>
    <t>Tela tipo rede de camuflagem para fixação vertical 2 x 3m</t>
  </si>
  <si>
    <t xml:space="preserve">un </t>
  </si>
  <si>
    <t>PLATAFORMA ELEVADA</t>
  </si>
  <si>
    <t>Fundação e embasamento</t>
  </si>
  <si>
    <t>Locação da obra</t>
  </si>
  <si>
    <t>01.17.051</t>
  </si>
  <si>
    <t>Projeto executivo de estrutura em formato A1</t>
  </si>
  <si>
    <t>1.6</t>
  </si>
  <si>
    <t>Estrutura de madeira e escada</t>
  </si>
  <si>
    <t xml:space="preserve">Piso em madeira </t>
  </si>
  <si>
    <t>Guarda corpo</t>
  </si>
  <si>
    <t>24.03.200</t>
  </si>
  <si>
    <t>Tela de proteção em aço galvanizado, fixada em todo guarda corpo</t>
  </si>
  <si>
    <t>15.20.020</t>
  </si>
  <si>
    <t>Fornecimento de peças diversas para estrutura em madeira</t>
  </si>
  <si>
    <t>EQUIPAMENTO</t>
  </si>
  <si>
    <t>HIDE/BLIND ELEVAÇÃO EM TELA</t>
  </si>
  <si>
    <t>PE FURNAS DO BOM JESUS</t>
  </si>
  <si>
    <t>PE RIO TURVO</t>
  </si>
  <si>
    <t>PESM CARAGUATATUBA</t>
  </si>
  <si>
    <t>PESM CUNHA</t>
  </si>
  <si>
    <t>PESM CURUCUTU</t>
  </si>
  <si>
    <t>PESM PICINGUABA</t>
  </si>
  <si>
    <t>PE CAVERNA DO DIABO</t>
  </si>
  <si>
    <t>TOTAL</t>
  </si>
  <si>
    <t>TOTAL EQUIPAMENTOS</t>
  </si>
  <si>
    <t>ADMINISTRAÇÃO LOCAL 10%</t>
  </si>
  <si>
    <t>BDI 30%</t>
  </si>
  <si>
    <t>TOTAL COM ADM + BDI</t>
  </si>
  <si>
    <t>1.7</t>
  </si>
  <si>
    <t>2.7</t>
  </si>
  <si>
    <t>11.18.040</t>
  </si>
  <si>
    <t>Lastro de pedra britada</t>
  </si>
  <si>
    <t>11.01.260</t>
  </si>
  <si>
    <t>Concreto usinado, fck = 20,0 MPa - para bombeamento</t>
  </si>
  <si>
    <t>11.16.040</t>
  </si>
  <si>
    <t>Lançamento e adensamento de concreto ou massa em fundação</t>
  </si>
  <si>
    <t>06.11.040</t>
  </si>
  <si>
    <t>Reaterro manual apiloado sem controle de compactação</t>
  </si>
  <si>
    <t>2.8</t>
  </si>
  <si>
    <t>02.08.020</t>
  </si>
  <si>
    <t>Placa de identificação para obra</t>
  </si>
  <si>
    <t>PE VASSUNUNGA</t>
  </si>
  <si>
    <t>4.2</t>
  </si>
  <si>
    <t>4.3</t>
  </si>
  <si>
    <t>4.4</t>
  </si>
  <si>
    <t>4.5</t>
  </si>
  <si>
    <t>4.6</t>
  </si>
  <si>
    <t>4.7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</si>
  <si>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</si>
  <si>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</si>
  <si>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</si>
  <si>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</si>
  <si>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</si>
  <si>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</si>
  <si>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</si>
  <si>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</si>
  <si>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</si>
  <si>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</si>
  <si>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</si>
  <si>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</si>
  <si>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</si>
  <si>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</si>
  <si>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</si>
  <si>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7.6</t>
  </si>
  <si>
    <t>7.7</t>
  </si>
  <si>
    <t>Mês</t>
  </si>
  <si>
    <t>6.1</t>
  </si>
  <si>
    <t>6.2</t>
  </si>
  <si>
    <t>6.3</t>
  </si>
  <si>
    <t>6.4</t>
  </si>
  <si>
    <t>6.5</t>
  </si>
  <si>
    <t>6.6</t>
  </si>
  <si>
    <t>5.3</t>
  </si>
  <si>
    <t>5.4</t>
  </si>
  <si>
    <t>5.5</t>
  </si>
  <si>
    <t>5.6</t>
  </si>
  <si>
    <t>5.7</t>
  </si>
  <si>
    <t>9.6</t>
  </si>
  <si>
    <t>9.7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</si>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</sst>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)\ _R_$_ ;_ * \(#,##0.00\)\ _R_$_ ;_ * &quot;-&quot;??_)\ _R_$_ ;_ @_ "/>
  </numFmts>
  <fonts count="2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Ecofont Vera Sans"/>
      <family val="2"/>
    </font>
    <font>
      <b/>
      <sz val="11"/>
      <name val="Ecofont Vera Sans"/>
      <family val="2"/>
    </font>
    <font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176">
    <xf numFmtId="0" fontId="0" fillId="0" borderId="0" xfId="0"/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0" borderId="0" xfId="47" applyNumberFormat="1" applyFont="1" applyAlignment="1">
      <alignment vertical="center"/>
    </xf>
    <xf numFmtId="4" fontId="21" fillId="0" borderId="0" xfId="47" applyNumberFormat="1" applyFont="1" applyAlignment="1">
      <alignment vertical="center"/>
    </xf>
    <xf numFmtId="0" fontId="21" fillId="0" borderId="0" xfId="0" applyFont="1" applyAlignment="1">
      <alignment vertical="center"/>
    </xf>
    <xf numFmtId="43" fontId="21" fillId="34" borderId="21" xfId="0" applyNumberFormat="1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43" fontId="21" fillId="34" borderId="10" xfId="0" applyNumberFormat="1" applyFont="1" applyFill="1" applyBorder="1" applyAlignment="1">
      <alignment vertical="center"/>
    </xf>
    <xf numFmtId="43" fontId="21" fillId="34" borderId="21" xfId="0" applyNumberFormat="1" applyFont="1" applyFill="1" applyBorder="1" applyAlignment="1">
      <alignment vertical="center"/>
    </xf>
    <xf numFmtId="43" fontId="20" fillId="0" borderId="0" xfId="0" applyNumberFormat="1" applyFont="1" applyAlignment="1">
      <alignment vertical="center"/>
    </xf>
    <xf numFmtId="0" fontId="20" fillId="0" borderId="28" xfId="0" applyFont="1" applyBorder="1" applyAlignment="1">
      <alignment horizontal="left" vertical="center" wrapText="1"/>
    </xf>
    <xf numFmtId="43" fontId="20" fillId="0" borderId="28" xfId="0" applyNumberFormat="1" applyFont="1" applyFill="1" applyBorder="1" applyAlignment="1">
      <alignment horizontal="right" vertical="center" wrapText="1"/>
    </xf>
    <xf numFmtId="43" fontId="20" fillId="0" borderId="14" xfId="0" applyNumberFormat="1" applyFont="1" applyFill="1" applyBorder="1" applyAlignment="1">
      <alignment vertical="center" wrapText="1"/>
    </xf>
    <xf numFmtId="43" fontId="20" fillId="0" borderId="12" xfId="47" applyNumberFormat="1" applyFont="1" applyBorder="1" applyAlignment="1">
      <alignment horizontal="right" vertical="center" wrapText="1"/>
    </xf>
    <xf numFmtId="1" fontId="20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left" vertical="center" wrapText="1"/>
    </xf>
    <xf numFmtId="4" fontId="20" fillId="0" borderId="0" xfId="47" applyNumberFormat="1" applyFont="1" applyFill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3" fontId="21" fillId="33" borderId="12" xfId="47" applyNumberFormat="1" applyFont="1" applyFill="1" applyBorder="1" applyAlignment="1">
      <alignment vertical="center" wrapText="1"/>
    </xf>
    <xf numFmtId="43" fontId="20" fillId="0" borderId="0" xfId="47" applyNumberFormat="1" applyFont="1" applyFill="1" applyAlignment="1">
      <alignment horizontal="right" vertical="center" wrapText="1"/>
    </xf>
    <xf numFmtId="43" fontId="20" fillId="0" borderId="0" xfId="0" applyNumberFormat="1" applyFont="1" applyFill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43" fontId="20" fillId="33" borderId="14" xfId="0" applyNumberFormat="1" applyFont="1" applyFill="1" applyBorder="1" applyAlignment="1">
      <alignment vertical="center" wrapText="1"/>
    </xf>
    <xf numFmtId="43" fontId="20" fillId="33" borderId="27" xfId="0" applyNumberFormat="1" applyFont="1" applyFill="1" applyBorder="1" applyAlignment="1">
      <alignment vertical="center" wrapText="1"/>
    </xf>
    <xf numFmtId="0" fontId="22" fillId="35" borderId="11" xfId="32" applyFont="1" applyFill="1" applyBorder="1" applyAlignment="1">
      <alignment horizontal="center" vertical="center" wrapText="1"/>
    </xf>
    <xf numFmtId="0" fontId="22" fillId="35" borderId="11" xfId="32" applyFont="1" applyFill="1" applyBorder="1" applyAlignment="1">
      <alignment horizontal="left" vertical="center" wrapText="1"/>
    </xf>
    <xf numFmtId="43" fontId="22" fillId="35" borderId="11" xfId="49" applyFont="1" applyFill="1" applyBorder="1" applyAlignment="1">
      <alignment horizontal="center" vertical="center" wrapText="1"/>
    </xf>
    <xf numFmtId="43" fontId="22" fillId="35" borderId="11" xfId="49" applyFont="1" applyFill="1" applyBorder="1" applyAlignment="1">
      <alignment horizontal="right" vertical="center" wrapText="1"/>
    </xf>
    <xf numFmtId="0" fontId="22" fillId="35" borderId="13" xfId="32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vertical="center" wrapText="1"/>
    </xf>
    <xf numFmtId="1" fontId="21" fillId="34" borderId="30" xfId="0" applyNumberFormat="1" applyFont="1" applyFill="1" applyBorder="1" applyAlignment="1">
      <alignment vertical="center"/>
    </xf>
    <xf numFmtId="0" fontId="21" fillId="34" borderId="25" xfId="0" applyNumberFormat="1" applyFont="1" applyFill="1" applyBorder="1" applyAlignment="1">
      <alignment vertical="center" wrapText="1"/>
    </xf>
    <xf numFmtId="43" fontId="21" fillId="34" borderId="32" xfId="0" applyNumberFormat="1" applyFont="1" applyFill="1" applyBorder="1" applyAlignment="1">
      <alignment vertical="center"/>
    </xf>
    <xf numFmtId="43" fontId="22" fillId="35" borderId="14" xfId="49" applyFont="1" applyFill="1" applyBorder="1" applyAlignment="1">
      <alignment horizontal="center" vertical="center" wrapText="1"/>
    </xf>
    <xf numFmtId="43" fontId="22" fillId="35" borderId="14" xfId="49" applyFont="1" applyFill="1" applyBorder="1" applyAlignment="1">
      <alignment horizontal="right" vertical="center" wrapText="1"/>
    </xf>
    <xf numFmtId="4" fontId="21" fillId="33" borderId="12" xfId="0" applyNumberFormat="1" applyFont="1" applyFill="1" applyBorder="1" applyAlignment="1">
      <alignment horizontal="left" vertical="center" wrapText="1"/>
    </xf>
    <xf numFmtId="4" fontId="20" fillId="0" borderId="0" xfId="47" applyNumberFormat="1" applyFont="1" applyFill="1" applyAlignment="1">
      <alignment horizontal="right" vertical="center" wrapText="1"/>
    </xf>
    <xf numFmtId="164" fontId="22" fillId="35" borderId="11" xfId="47" applyFont="1" applyFill="1" applyBorder="1" applyAlignment="1">
      <alignment horizontal="right" vertical="center" wrapText="1"/>
    </xf>
    <xf numFmtId="164" fontId="20" fillId="0" borderId="12" xfId="47" applyFont="1" applyBorder="1" applyAlignment="1">
      <alignment horizontal="right" vertical="center" wrapText="1"/>
    </xf>
    <xf numFmtId="0" fontId="22" fillId="35" borderId="13" xfId="32" applyFont="1" applyFill="1" applyBorder="1" applyAlignment="1">
      <alignment horizontal="center" vertical="center" wrapText="1"/>
    </xf>
    <xf numFmtId="43" fontId="22" fillId="35" borderId="27" xfId="49" applyFont="1" applyFill="1" applyBorder="1" applyAlignment="1">
      <alignment horizontal="right" vertical="center" wrapText="1"/>
    </xf>
    <xf numFmtId="43" fontId="21" fillId="34" borderId="33" xfId="47" applyNumberFormat="1" applyFont="1" applyFill="1" applyBorder="1" applyAlignment="1">
      <alignment horizontal="center" vertical="center" wrapText="1"/>
    </xf>
    <xf numFmtId="4" fontId="21" fillId="34" borderId="37" xfId="0" applyNumberFormat="1" applyFont="1" applyFill="1" applyBorder="1" applyAlignment="1">
      <alignment horizontal="center" vertical="center"/>
    </xf>
    <xf numFmtId="43" fontId="21" fillId="34" borderId="37" xfId="47" applyNumberFormat="1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left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vertical="center" wrapText="1"/>
    </xf>
    <xf numFmtId="0" fontId="20" fillId="33" borderId="39" xfId="0" applyFont="1" applyFill="1" applyBorder="1" applyAlignment="1">
      <alignment horizontal="center" vertical="center" wrapText="1"/>
    </xf>
    <xf numFmtId="4" fontId="20" fillId="33" borderId="35" xfId="0" applyNumberFormat="1" applyFont="1" applyFill="1" applyBorder="1" applyAlignment="1">
      <alignment vertical="center" wrapText="1"/>
    </xf>
    <xf numFmtId="43" fontId="20" fillId="33" borderId="35" xfId="0" applyNumberFormat="1" applyFont="1" applyFill="1" applyBorder="1" applyAlignment="1">
      <alignment vertical="center" wrapText="1"/>
    </xf>
    <xf numFmtId="43" fontId="20" fillId="33" borderId="40" xfId="0" applyNumberFormat="1" applyFont="1" applyFill="1" applyBorder="1" applyAlignment="1">
      <alignment vertical="center" wrapText="1"/>
    </xf>
    <xf numFmtId="43" fontId="21" fillId="33" borderId="41" xfId="47" applyNumberFormat="1" applyFont="1" applyFill="1" applyBorder="1" applyAlignment="1">
      <alignment vertical="center" wrapText="1"/>
    </xf>
    <xf numFmtId="0" fontId="22" fillId="0" borderId="27" xfId="32" applyFont="1" applyBorder="1" applyAlignment="1">
      <alignment horizontal="center" vertical="center"/>
    </xf>
    <xf numFmtId="0" fontId="22" fillId="0" borderId="11" xfId="32" applyFont="1" applyBorder="1" applyAlignment="1">
      <alignment vertical="center" wrapText="1"/>
    </xf>
    <xf numFmtId="0" fontId="22" fillId="0" borderId="11" xfId="32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43" fontId="20" fillId="0" borderId="27" xfId="0" applyNumberFormat="1" applyFont="1" applyFill="1" applyBorder="1" applyAlignment="1">
      <alignment vertical="center" wrapText="1"/>
    </xf>
    <xf numFmtId="43" fontId="21" fillId="0" borderId="12" xfId="47" applyNumberFormat="1" applyFont="1" applyFill="1" applyBorder="1" applyAlignment="1">
      <alignment vertical="center" wrapText="1"/>
    </xf>
    <xf numFmtId="43" fontId="21" fillId="34" borderId="12" xfId="47" applyNumberFormat="1" applyFont="1" applyFill="1" applyBorder="1" applyAlignment="1">
      <alignment horizontal="right" vertical="center" wrapText="1"/>
    </xf>
    <xf numFmtId="0" fontId="1" fillId="0" borderId="0" xfId="0" applyFont="1"/>
    <xf numFmtId="43" fontId="0" fillId="0" borderId="0" xfId="0" applyNumberFormat="1"/>
    <xf numFmtId="0" fontId="1" fillId="34" borderId="36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 wrapText="1"/>
    </xf>
    <xf numFmtId="43" fontId="24" fillId="34" borderId="0" xfId="0" applyNumberFormat="1" applyFont="1" applyFill="1" applyAlignment="1">
      <alignment horizontal="center" vertical="center"/>
    </xf>
    <xf numFmtId="43" fontId="0" fillId="38" borderId="0" xfId="0" applyNumberFormat="1" applyFill="1" applyAlignment="1">
      <alignment horizontal="center" vertical="center"/>
    </xf>
    <xf numFmtId="0" fontId="21" fillId="34" borderId="21" xfId="0" quotePrefix="1" applyNumberFormat="1" applyFont="1" applyFill="1" applyBorder="1" applyAlignment="1">
      <alignment horizontal="center" vertical="center" wrapText="1"/>
    </xf>
    <xf numFmtId="0" fontId="21" fillId="34" borderId="24" xfId="0" quotePrefix="1" applyNumberFormat="1" applyFont="1" applyFill="1" applyBorder="1" applyAlignment="1">
      <alignment horizontal="center" vertical="center" wrapText="1"/>
    </xf>
    <xf numFmtId="0" fontId="21" fillId="34" borderId="19" xfId="0" quotePrefix="1" applyNumberFormat="1" applyFont="1" applyFill="1" applyBorder="1" applyAlignment="1">
      <alignment horizontal="center" vertical="center" wrapText="1"/>
    </xf>
    <xf numFmtId="43" fontId="20" fillId="0" borderId="13" xfId="0" applyNumberFormat="1" applyFont="1" applyFill="1" applyBorder="1" applyAlignment="1">
      <alignment horizontal="right" vertical="center" wrapText="1"/>
    </xf>
    <xf numFmtId="43" fontId="21" fillId="34" borderId="34" xfId="0" applyNumberFormat="1" applyFont="1" applyFill="1" applyBorder="1" applyAlignment="1">
      <alignment vertical="center"/>
    </xf>
    <xf numFmtId="43" fontId="21" fillId="34" borderId="15" xfId="0" applyNumberFormat="1" applyFont="1" applyFill="1" applyBorder="1" applyAlignment="1">
      <alignment vertical="center"/>
    </xf>
    <xf numFmtId="43" fontId="21" fillId="34" borderId="18" xfId="0" applyNumberFormat="1" applyFont="1" applyFill="1" applyBorder="1" applyAlignment="1">
      <alignment vertical="center"/>
    </xf>
    <xf numFmtId="43" fontId="21" fillId="34" borderId="36" xfId="0" applyNumberFormat="1" applyFont="1" applyFill="1" applyBorder="1" applyAlignment="1">
      <alignment vertical="center"/>
    </xf>
    <xf numFmtId="0" fontId="21" fillId="0" borderId="49" xfId="0" quotePrefix="1" applyNumberFormat="1" applyFont="1" applyFill="1" applyBorder="1" applyAlignment="1">
      <alignment vertical="center" wrapText="1"/>
    </xf>
    <xf numFmtId="0" fontId="21" fillId="0" borderId="50" xfId="0" quotePrefix="1" applyNumberFormat="1" applyFont="1" applyFill="1" applyBorder="1" applyAlignment="1">
      <alignment vertical="center" wrapText="1"/>
    </xf>
    <xf numFmtId="43" fontId="20" fillId="33" borderId="49" xfId="0" applyNumberFormat="1" applyFont="1" applyFill="1" applyBorder="1" applyAlignment="1">
      <alignment vertical="center" wrapText="1"/>
    </xf>
    <xf numFmtId="43" fontId="20" fillId="33" borderId="50" xfId="0" applyNumberFormat="1" applyFont="1" applyFill="1" applyBorder="1" applyAlignment="1">
      <alignment vertical="center" wrapText="1"/>
    </xf>
    <xf numFmtId="43" fontId="21" fillId="33" borderId="50" xfId="0" applyNumberFormat="1" applyFont="1" applyFill="1" applyBorder="1" applyAlignment="1">
      <alignment vertical="center" wrapText="1"/>
    </xf>
    <xf numFmtId="43" fontId="20" fillId="0" borderId="12" xfId="47" applyNumberFormat="1" applyFont="1" applyFill="1" applyBorder="1" applyAlignment="1">
      <alignment vertical="center" wrapText="1"/>
    </xf>
    <xf numFmtId="0" fontId="22" fillId="0" borderId="11" xfId="32" applyFont="1" applyFill="1" applyBorder="1" applyAlignment="1">
      <alignment horizontal="center" vertical="center" wrapText="1"/>
    </xf>
    <xf numFmtId="0" fontId="22" fillId="0" borderId="11" xfId="32" applyFont="1" applyFill="1" applyBorder="1" applyAlignment="1">
      <alignment horizontal="left" vertical="center" wrapText="1"/>
    </xf>
    <xf numFmtId="43" fontId="22" fillId="0" borderId="11" xfId="49" applyFont="1" applyFill="1" applyBorder="1" applyAlignment="1">
      <alignment horizontal="center" vertical="center" wrapText="1"/>
    </xf>
    <xf numFmtId="43" fontId="22" fillId="0" borderId="11" xfId="49" applyFont="1" applyFill="1" applyBorder="1" applyAlignment="1">
      <alignment horizontal="right" vertical="center" wrapText="1"/>
    </xf>
    <xf numFmtId="43" fontId="20" fillId="0" borderId="12" xfId="47" applyNumberFormat="1" applyFont="1" applyFill="1" applyBorder="1" applyAlignment="1">
      <alignment horizontal="right" vertical="center" wrapText="1"/>
    </xf>
    <xf numFmtId="4" fontId="21" fillId="34" borderId="20" xfId="0" applyNumberFormat="1" applyFont="1" applyFill="1" applyBorder="1" applyAlignment="1">
      <alignment horizontal="center" vertical="center"/>
    </xf>
    <xf numFmtId="43" fontId="20" fillId="0" borderId="18" xfId="0" applyNumberFormat="1" applyFont="1" applyFill="1" applyBorder="1" applyAlignment="1">
      <alignment horizontal="right" vertical="center" wrapText="1"/>
    </xf>
    <xf numFmtId="43" fontId="20" fillId="0" borderId="51" xfId="0" applyNumberFormat="1" applyFont="1" applyFill="1" applyBorder="1" applyAlignment="1">
      <alignment horizontal="right" vertical="center" wrapText="1"/>
    </xf>
    <xf numFmtId="4" fontId="20" fillId="33" borderId="35" xfId="0" applyNumberFormat="1" applyFont="1" applyFill="1" applyBorder="1" applyAlignment="1">
      <alignment horizontal="right" vertical="center" wrapText="1"/>
    </xf>
    <xf numFmtId="0" fontId="22" fillId="35" borderId="11" xfId="32" applyFont="1" applyFill="1" applyBorder="1" applyAlignment="1">
      <alignment horizontal="right" vertical="center" wrapText="1"/>
    </xf>
    <xf numFmtId="0" fontId="22" fillId="0" borderId="11" xfId="32" applyFont="1" applyFill="1" applyBorder="1" applyAlignment="1">
      <alignment horizontal="right" vertical="center" wrapText="1"/>
    </xf>
    <xf numFmtId="0" fontId="22" fillId="35" borderId="14" xfId="32" applyFont="1" applyFill="1" applyBorder="1" applyAlignment="1">
      <alignment horizontal="right" vertical="center" wrapText="1"/>
    </xf>
    <xf numFmtId="4" fontId="20" fillId="33" borderId="14" xfId="0" applyNumberFormat="1" applyFont="1" applyFill="1" applyBorder="1" applyAlignment="1">
      <alignment horizontal="right" vertical="center" wrapText="1"/>
    </xf>
    <xf numFmtId="43" fontId="22" fillId="0" borderId="11" xfId="49" applyNumberFormat="1" applyFont="1" applyBorder="1" applyAlignment="1">
      <alignment horizontal="right" vertical="center"/>
    </xf>
    <xf numFmtId="4" fontId="20" fillId="0" borderId="14" xfId="0" applyNumberFormat="1" applyFont="1" applyFill="1" applyBorder="1" applyAlignment="1">
      <alignment horizontal="right" vertical="center" wrapText="1"/>
    </xf>
    <xf numFmtId="43" fontId="22" fillId="0" borderId="14" xfId="49" applyNumberFormat="1" applyFont="1" applyBorder="1" applyAlignment="1">
      <alignment horizontal="right" vertical="center"/>
    </xf>
    <xf numFmtId="4" fontId="21" fillId="34" borderId="45" xfId="0" applyNumberFormat="1" applyFont="1" applyFill="1" applyBorder="1" applyAlignment="1">
      <alignment horizontal="center" vertical="center"/>
    </xf>
    <xf numFmtId="43" fontId="21" fillId="34" borderId="47" xfId="0" applyNumberFormat="1" applyFont="1" applyFill="1" applyBorder="1" applyAlignment="1">
      <alignment horizontal="center" vertical="center" wrapText="1"/>
    </xf>
    <xf numFmtId="10" fontId="21" fillId="33" borderId="36" xfId="48" applyNumberFormat="1" applyFont="1" applyFill="1" applyBorder="1" applyAlignment="1">
      <alignment vertical="center"/>
    </xf>
    <xf numFmtId="10" fontId="20" fillId="37" borderId="11" xfId="48" applyNumberFormat="1" applyFont="1" applyFill="1" applyBorder="1" applyAlignment="1">
      <alignment horizontal="right" vertical="center" wrapText="1"/>
    </xf>
    <xf numFmtId="10" fontId="20" fillId="0" borderId="27" xfId="48" applyNumberFormat="1" applyFont="1" applyFill="1" applyBorder="1" applyAlignment="1">
      <alignment horizontal="right" vertical="center" wrapText="1"/>
    </xf>
    <xf numFmtId="10" fontId="20" fillId="37" borderId="13" xfId="48" applyNumberFormat="1" applyFont="1" applyFill="1" applyBorder="1" applyAlignment="1">
      <alignment horizontal="right" vertical="center" wrapText="1"/>
    </xf>
    <xf numFmtId="43" fontId="20" fillId="0" borderId="42" xfId="0" applyNumberFormat="1" applyFont="1" applyFill="1" applyBorder="1" applyAlignment="1">
      <alignment vertical="center" wrapText="1"/>
    </xf>
    <xf numFmtId="10" fontId="20" fillId="0" borderId="36" xfId="48" applyNumberFormat="1" applyFont="1" applyBorder="1" applyAlignment="1">
      <alignment vertical="center"/>
    </xf>
    <xf numFmtId="10" fontId="20" fillId="0" borderId="13" xfId="48" applyNumberFormat="1" applyFont="1" applyFill="1" applyBorder="1" applyAlignment="1">
      <alignment horizontal="right" vertical="center" wrapText="1"/>
    </xf>
    <xf numFmtId="10" fontId="20" fillId="0" borderId="11" xfId="48" applyNumberFormat="1" applyFont="1" applyFill="1" applyBorder="1" applyAlignment="1">
      <alignment horizontal="right" vertical="center" wrapText="1"/>
    </xf>
    <xf numFmtId="10" fontId="20" fillId="0" borderId="19" xfId="48" applyNumberFormat="1" applyFont="1" applyFill="1" applyBorder="1" applyAlignment="1">
      <alignment horizontal="right" vertical="center" wrapText="1"/>
    </xf>
    <xf numFmtId="10" fontId="20" fillId="0" borderId="51" xfId="48" applyNumberFormat="1" applyFont="1" applyFill="1" applyBorder="1" applyAlignment="1">
      <alignment horizontal="right" vertical="center" wrapText="1"/>
    </xf>
    <xf numFmtId="10" fontId="20" fillId="37" borderId="19" xfId="48" applyNumberFormat="1" applyFont="1" applyFill="1" applyBorder="1" applyAlignment="1">
      <alignment horizontal="right" vertical="center" wrapText="1"/>
    </xf>
    <xf numFmtId="0" fontId="20" fillId="0" borderId="44" xfId="0" applyFont="1" applyBorder="1" applyAlignment="1">
      <alignment vertical="center"/>
    </xf>
    <xf numFmtId="43" fontId="20" fillId="33" borderId="16" xfId="0" applyNumberFormat="1" applyFont="1" applyFill="1" applyBorder="1" applyAlignment="1">
      <alignment horizontal="center" vertical="center" wrapText="1"/>
    </xf>
    <xf numFmtId="43" fontId="20" fillId="33" borderId="17" xfId="0" applyNumberFormat="1" applyFont="1" applyFill="1" applyBorder="1" applyAlignment="1">
      <alignment horizontal="center" vertical="center" wrapText="1"/>
    </xf>
    <xf numFmtId="43" fontId="20" fillId="33" borderId="48" xfId="0" applyNumberFormat="1" applyFont="1" applyFill="1" applyBorder="1" applyAlignment="1">
      <alignment horizontal="center" vertical="center" wrapText="1"/>
    </xf>
    <xf numFmtId="43" fontId="21" fillId="33" borderId="42" xfId="0" applyNumberFormat="1" applyFont="1" applyFill="1" applyBorder="1" applyAlignment="1">
      <alignment vertical="center" wrapText="1"/>
    </xf>
    <xf numFmtId="10" fontId="20" fillId="37" borderId="10" xfId="48" applyNumberFormat="1" applyFont="1" applyFill="1" applyBorder="1" applyAlignment="1">
      <alignment horizontal="right" vertical="center" wrapText="1"/>
    </xf>
    <xf numFmtId="10" fontId="20" fillId="0" borderId="15" xfId="48" applyNumberFormat="1" applyFont="1" applyFill="1" applyBorder="1" applyAlignment="1">
      <alignment horizontal="right" vertical="center" wrapText="1"/>
    </xf>
    <xf numFmtId="10" fontId="20" fillId="0" borderId="10" xfId="48" applyNumberFormat="1" applyFont="1" applyFill="1" applyBorder="1" applyAlignment="1">
      <alignment horizontal="right" vertical="center" wrapText="1"/>
    </xf>
    <xf numFmtId="10" fontId="20" fillId="0" borderId="18" xfId="48" applyNumberFormat="1" applyFont="1" applyFill="1" applyBorder="1" applyAlignment="1">
      <alignment horizontal="right" vertical="center" wrapText="1"/>
    </xf>
    <xf numFmtId="43" fontId="20" fillId="0" borderId="53" xfId="0" applyNumberFormat="1" applyFont="1" applyFill="1" applyBorder="1" applyAlignment="1">
      <alignment horizontal="right" vertical="center" wrapText="1"/>
    </xf>
    <xf numFmtId="43" fontId="20" fillId="0" borderId="15" xfId="0" applyNumberFormat="1" applyFont="1" applyFill="1" applyBorder="1" applyAlignment="1">
      <alignment horizontal="right" vertical="center" wrapText="1"/>
    </xf>
    <xf numFmtId="0" fontId="21" fillId="33" borderId="15" xfId="0" applyFont="1" applyFill="1" applyBorder="1" applyAlignment="1">
      <alignment horizontal="left" vertical="center" wrapText="1"/>
    </xf>
    <xf numFmtId="4" fontId="21" fillId="33" borderId="45" xfId="0" applyNumberFormat="1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6" xfId="0" applyNumberFormat="1" applyFont="1" applyBorder="1" applyAlignment="1">
      <alignment horizontal="left" vertical="center" wrapText="1"/>
    </xf>
    <xf numFmtId="10" fontId="20" fillId="39" borderId="13" xfId="48" applyNumberFormat="1" applyFont="1" applyFill="1" applyBorder="1" applyAlignment="1">
      <alignment horizontal="right" vertical="center" wrapText="1"/>
    </xf>
    <xf numFmtId="0" fontId="20" fillId="0" borderId="47" xfId="0" applyNumberFormat="1" applyFont="1" applyBorder="1" applyAlignment="1">
      <alignment horizontal="left" vertical="center" wrapText="1"/>
    </xf>
    <xf numFmtId="10" fontId="20" fillId="39" borderId="51" xfId="48" applyNumberFormat="1" applyFont="1" applyFill="1" applyBorder="1" applyAlignment="1">
      <alignment horizontal="righ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54" xfId="0" applyNumberFormat="1" applyFont="1" applyBorder="1" applyAlignment="1">
      <alignment horizontal="left" vertical="center" wrapText="1"/>
    </xf>
    <xf numFmtId="43" fontId="20" fillId="33" borderId="34" xfId="0" applyNumberFormat="1" applyFont="1" applyFill="1" applyBorder="1" applyAlignment="1">
      <alignment horizontal="center" vertical="center" wrapText="1"/>
    </xf>
    <xf numFmtId="43" fontId="20" fillId="33" borderId="35" xfId="0" applyNumberFormat="1" applyFont="1" applyFill="1" applyBorder="1" applyAlignment="1">
      <alignment horizontal="center" vertical="center" wrapText="1"/>
    </xf>
    <xf numFmtId="43" fontId="20" fillId="33" borderId="55" xfId="0" applyNumberFormat="1" applyFont="1" applyFill="1" applyBorder="1" applyAlignment="1">
      <alignment horizontal="center" vertical="center" wrapText="1"/>
    </xf>
    <xf numFmtId="43" fontId="21" fillId="33" borderId="56" xfId="0" applyNumberFormat="1" applyFont="1" applyFill="1" applyBorder="1" applyAlignment="1">
      <alignment vertical="center" wrapText="1"/>
    </xf>
    <xf numFmtId="10" fontId="21" fillId="33" borderId="57" xfId="48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0" fontId="21" fillId="34" borderId="36" xfId="48" applyNumberFormat="1" applyFont="1" applyFill="1" applyBorder="1" applyAlignment="1">
      <alignment vertical="center"/>
    </xf>
    <xf numFmtId="43" fontId="21" fillId="34" borderId="57" xfId="0" applyNumberFormat="1" applyFont="1" applyFill="1" applyBorder="1" applyAlignment="1">
      <alignment vertical="center"/>
    </xf>
    <xf numFmtId="44" fontId="21" fillId="34" borderId="36" xfId="5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42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21" fillId="34" borderId="16" xfId="0" applyNumberFormat="1" applyFont="1" applyFill="1" applyBorder="1" applyAlignment="1">
      <alignment horizontal="center" vertical="center" wrapText="1"/>
    </xf>
    <xf numFmtId="43" fontId="21" fillId="34" borderId="17" xfId="0" applyNumberFormat="1" applyFont="1" applyFill="1" applyBorder="1" applyAlignment="1">
      <alignment horizontal="center" vertical="center" wrapText="1"/>
    </xf>
    <xf numFmtId="43" fontId="21" fillId="34" borderId="48" xfId="0" applyNumberFormat="1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1" fillId="38" borderId="0" xfId="0" applyFont="1" applyFill="1" applyAlignment="1">
      <alignment horizontal="right" vertical="center"/>
    </xf>
    <xf numFmtId="0" fontId="0" fillId="38" borderId="0" xfId="0" applyFill="1" applyAlignment="1">
      <alignment horizontal="right" vertical="center"/>
    </xf>
    <xf numFmtId="0" fontId="24" fillId="34" borderId="0" xfId="0" applyFont="1" applyFill="1" applyAlignment="1">
      <alignment horizontal="right" vertical="center"/>
    </xf>
    <xf numFmtId="0" fontId="21" fillId="34" borderId="15" xfId="0" applyFont="1" applyFill="1" applyBorder="1" applyAlignment="1">
      <alignment horizontal="right" vertical="center" wrapText="1"/>
    </xf>
    <xf numFmtId="0" fontId="21" fillId="34" borderId="14" xfId="0" applyFont="1" applyFill="1" applyBorder="1" applyAlignment="1">
      <alignment horizontal="right" vertical="center" wrapText="1"/>
    </xf>
    <xf numFmtId="0" fontId="21" fillId="34" borderId="27" xfId="0" applyFont="1" applyFill="1" applyBorder="1" applyAlignment="1">
      <alignment horizontal="right" vertical="center" wrapText="1"/>
    </xf>
    <xf numFmtId="0" fontId="21" fillId="36" borderId="42" xfId="0" applyNumberFormat="1" applyFont="1" applyFill="1" applyBorder="1" applyAlignment="1">
      <alignment horizontal="center" vertical="center" wrapText="1"/>
    </xf>
    <xf numFmtId="0" fontId="21" fillId="36" borderId="28" xfId="0" applyNumberFormat="1" applyFont="1" applyFill="1" applyBorder="1" applyAlignment="1">
      <alignment horizontal="center" vertical="center" wrapText="1"/>
    </xf>
    <xf numFmtId="0" fontId="21" fillId="36" borderId="43" xfId="0" applyNumberFormat="1" applyFont="1" applyFill="1" applyBorder="1" applyAlignment="1">
      <alignment horizontal="center" vertical="center" wrapText="1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50" builtinId="4"/>
    <cellStyle name="Neutra" xfId="31" builtinId="28" customBuiltin="1"/>
    <cellStyle name="Normal" xfId="0" builtinId="0"/>
    <cellStyle name="Normal 2" xfId="32"/>
    <cellStyle name="Normal 2 2" xfId="33"/>
    <cellStyle name="Normal 3" xfId="34"/>
    <cellStyle name="Normal 3 2" xfId="35"/>
    <cellStyle name="Normal 4" xfId="36"/>
    <cellStyle name="Nota 2" xfId="37"/>
    <cellStyle name="Porcentagem 3" xfId="48"/>
    <cellStyle name="Saída" xfId="38" builtinId="21" customBuiltin="1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47" builtinId="3"/>
    <cellStyle name="Vírgula 2" xfId="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A351877D-A9E8-4B56-ABFA-A5923D679968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5126CBF2-B362-4B16-AD0F-007EAC26BA88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BA7269A8-4547-401F-8160-D6016044D76D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DCF31E92-0BD7-4DC9-BD1F-098B594F1C4E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A351877D-A9E8-4B56-ABFA-A5923D679968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5126CBF2-B362-4B16-AD0F-007EAC26BA88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BA7269A8-4547-401F-8160-D6016044D76D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DCF31E92-0BD7-4DC9-BD1F-098B594F1C4E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A351877D-A9E8-4B56-ABFA-A5923D679968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5126CBF2-B362-4B16-AD0F-007EAC26BA88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BA7269A8-4547-401F-8160-D6016044D76D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DCF31E92-0BD7-4DC9-BD1F-098B594F1C4E}"/>
            </a:ext>
          </a:extLst>
        </xdr:cNvPr>
        <xdr:cNvSpPr txBox="1"/>
      </xdr:nvSpPr>
      <xdr:spPr>
        <a:xfrm>
          <a:off x="88201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3.1.%20Plan%20Cronog%20equip%20Madeira%20Obs%20Aves%20-%20CCA%20rev%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(%)"/>
      <sheetName val="Cronograma"/>
      <sheetName val="Equipamento por unidade"/>
      <sheetName val="Custo por equipamento"/>
      <sheetName val="Orçamentos "/>
    </sheetNames>
    <sheetDataSet>
      <sheetData sheetId="0"/>
      <sheetData sheetId="1"/>
      <sheetData sheetId="2">
        <row r="1">
          <cell r="B1" t="str">
            <v>PE FURNAS DO BOM JESUS</v>
          </cell>
          <cell r="C1" t="str">
            <v>PE RIO TURVO</v>
          </cell>
          <cell r="D1" t="str">
            <v>PE CAVERNA DO DIABO</v>
          </cell>
          <cell r="F1" t="str">
            <v>PESM CARAGUATATUBA</v>
          </cell>
          <cell r="G1" t="str">
            <v>PESM CUNHA</v>
          </cell>
          <cell r="H1" t="str">
            <v>PESM CURUCUTU</v>
          </cell>
          <cell r="I1" t="str">
            <v>PESM PICINGUABA</v>
          </cell>
        </row>
        <row r="2">
          <cell r="A2" t="str">
            <v>HIDE/BLIND ELEVAÇÃO MADEIRA</v>
          </cell>
        </row>
        <row r="3">
          <cell r="A3" t="str">
            <v>HIDE/BLIND ELEVAÇÃO EM TELA</v>
          </cell>
        </row>
        <row r="4">
          <cell r="A4" t="str">
            <v>PLATAFORMA ELEVADA</v>
          </cell>
        </row>
      </sheetData>
      <sheetData sheetId="3">
        <row r="3">
          <cell r="C3" t="str">
            <v>Início de Obra</v>
          </cell>
        </row>
        <row r="11">
          <cell r="C11" t="str">
            <v>Embasamento</v>
          </cell>
        </row>
        <row r="21">
          <cell r="C21" t="str">
            <v>Madeiras</v>
          </cell>
        </row>
        <row r="31">
          <cell r="C31" t="str">
            <v>Pregos e ligações metálicas necessárias</v>
          </cell>
        </row>
        <row r="34">
          <cell r="C34" t="str">
            <v>Pintura e acabamentos</v>
          </cell>
        </row>
        <row r="69">
          <cell r="C69" t="str">
            <v>Tela de proteção/camuflagen</v>
          </cell>
        </row>
        <row r="83">
          <cell r="C83" t="str">
            <v>Início de Obra</v>
          </cell>
        </row>
        <row r="92">
          <cell r="C92" t="str">
            <v>Fundação e embasamento</v>
          </cell>
        </row>
        <row r="103">
          <cell r="C103" t="str">
            <v>Estrutura de madeira e escada</v>
          </cell>
        </row>
        <row r="109">
          <cell r="C109" t="str">
            <v xml:space="preserve">Piso em madeira </v>
          </cell>
        </row>
        <row r="119">
          <cell r="C119" t="str">
            <v>Guarda corpo</v>
          </cell>
        </row>
        <row r="126">
          <cell r="C126" t="str">
            <v>Pregos e ligações metálicas necessárias</v>
          </cell>
        </row>
        <row r="129">
          <cell r="C129" t="str">
            <v>Pintura e acabamentos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showGridLines="0" topLeftCell="A13" zoomScale="70" zoomScaleNormal="70" zoomScaleSheetLayoutView="83" workbookViewId="0">
      <selection activeCell="K1" sqref="K1:K1048576"/>
    </sheetView>
  </sheetViews>
  <sheetFormatPr defaultColWidth="2.42578125" defaultRowHeight="15" x14ac:dyDescent="0.2"/>
  <cols>
    <col min="1" max="1" width="12" style="25" customWidth="1"/>
    <col min="2" max="2" width="49" style="2" customWidth="1"/>
    <col min="3" max="10" width="20.7109375" style="12" customWidth="1"/>
    <col min="11" max="11" width="24.28515625" style="12" hidden="1" customWidth="1"/>
    <col min="12" max="12" width="18.42578125" style="2" customWidth="1"/>
    <col min="13" max="13" width="15" style="2" bestFit="1" customWidth="1"/>
    <col min="14" max="14" width="23.140625" style="2" customWidth="1"/>
    <col min="15" max="15" width="21.42578125" style="2" customWidth="1"/>
    <col min="16" max="16" width="5" style="2" customWidth="1"/>
    <col min="17" max="17" width="14.5703125" style="2" hidden="1" customWidth="1"/>
    <col min="18" max="18" width="30.140625" style="2" customWidth="1"/>
    <col min="19" max="16384" width="2.42578125" style="2"/>
  </cols>
  <sheetData>
    <row r="1" spans="1:18" x14ac:dyDescent="0.2">
      <c r="A1" s="163" t="s">
        <v>10</v>
      </c>
      <c r="B1" s="165" t="s">
        <v>11</v>
      </c>
      <c r="C1" s="160" t="s">
        <v>158</v>
      </c>
      <c r="D1" s="161"/>
      <c r="E1" s="161"/>
      <c r="F1" s="161"/>
      <c r="G1" s="161"/>
      <c r="H1" s="161"/>
      <c r="I1" s="161"/>
      <c r="J1" s="162"/>
      <c r="K1" s="97" t="s">
        <v>21</v>
      </c>
      <c r="L1" s="108" t="s">
        <v>21</v>
      </c>
    </row>
    <row r="2" spans="1:18" ht="20.100000000000001" customHeight="1" x14ac:dyDescent="0.2">
      <c r="A2" s="164"/>
      <c r="B2" s="166"/>
      <c r="C2" s="78">
        <v>1</v>
      </c>
      <c r="D2" s="79">
        <v>2</v>
      </c>
      <c r="E2" s="79">
        <v>3</v>
      </c>
      <c r="F2" s="79">
        <v>4</v>
      </c>
      <c r="G2" s="80">
        <v>5</v>
      </c>
      <c r="H2" s="79">
        <v>6</v>
      </c>
      <c r="I2" s="80">
        <v>7</v>
      </c>
      <c r="J2" s="79">
        <v>8</v>
      </c>
      <c r="K2" s="7" t="s">
        <v>13</v>
      </c>
      <c r="L2" s="109" t="s">
        <v>13</v>
      </c>
    </row>
    <row r="3" spans="1:18" ht="15" customHeight="1" x14ac:dyDescent="0.2">
      <c r="A3" s="154" t="str">
        <f>'[1]Equipamento por unidade'!B1</f>
        <v>PE FURNAS DO BOM JESUS</v>
      </c>
      <c r="B3" s="155"/>
      <c r="C3" s="86"/>
      <c r="D3" s="87"/>
      <c r="E3" s="87"/>
      <c r="F3" s="87"/>
      <c r="G3" s="87"/>
      <c r="H3" s="87"/>
      <c r="I3" s="87"/>
      <c r="J3" s="87"/>
      <c r="K3" s="87"/>
    </row>
    <row r="4" spans="1:18" x14ac:dyDescent="0.2">
      <c r="A4" s="37">
        <v>1</v>
      </c>
      <c r="B4" s="8" t="str">
        <f>'[1]Equipamento por unidade'!A4</f>
        <v>PLATAFORMA ELEVADA</v>
      </c>
      <c r="C4" s="88"/>
      <c r="D4" s="89"/>
      <c r="E4" s="89"/>
      <c r="F4" s="89"/>
      <c r="G4" s="89"/>
      <c r="H4" s="89"/>
      <c r="I4" s="89"/>
      <c r="J4" s="89"/>
      <c r="K4" s="90">
        <f>SUM(K5:K11)</f>
        <v>0</v>
      </c>
      <c r="L4" s="110" t="e">
        <f>K4/K81</f>
        <v>#DIV/0!</v>
      </c>
      <c r="M4" s="3"/>
      <c r="N4" s="4" t="e">
        <f>M5</f>
        <v>#DIV/0!</v>
      </c>
      <c r="O4" s="6"/>
    </row>
    <row r="5" spans="1:18" x14ac:dyDescent="0.2">
      <c r="A5" s="23" t="s">
        <v>0</v>
      </c>
      <c r="B5" s="9" t="str">
        <f>'[1]Custo por equipamento'!C83</f>
        <v>Início de Obra</v>
      </c>
      <c r="C5" s="81"/>
      <c r="D5" s="81"/>
      <c r="E5" s="81"/>
      <c r="F5" s="111" t="e">
        <f>7285.97/K81</f>
        <v>#DIV/0!</v>
      </c>
      <c r="G5" s="112"/>
      <c r="H5" s="112"/>
      <c r="I5" s="112"/>
      <c r="J5" s="113" t="e">
        <f>1873/K81</f>
        <v>#DIV/0!</v>
      </c>
      <c r="K5" s="114">
        <f>'Custo por equipamento'!I83</f>
        <v>0</v>
      </c>
      <c r="L5" s="115" t="e">
        <f>SUM(C5:J5)</f>
        <v>#DIV/0!</v>
      </c>
      <c r="M5" s="3" t="e">
        <f>SUM(C5:J5)</f>
        <v>#DIV/0!</v>
      </c>
      <c r="O5" s="4"/>
      <c r="R5" s="3"/>
    </row>
    <row r="6" spans="1:18" x14ac:dyDescent="0.2">
      <c r="A6" s="23" t="s">
        <v>9</v>
      </c>
      <c r="B6" s="9" t="str">
        <f>'[1]Custo por equipamento'!C92</f>
        <v>Fundação e embasamento</v>
      </c>
      <c r="C6" s="81"/>
      <c r="D6" s="81"/>
      <c r="E6" s="81"/>
      <c r="F6" s="111" t="e">
        <f>4385.03/K81</f>
        <v>#DIV/0!</v>
      </c>
      <c r="G6" s="113" t="e">
        <f>17581.87/K81</f>
        <v>#DIV/0!</v>
      </c>
      <c r="H6" s="116"/>
      <c r="I6" s="116"/>
      <c r="J6" s="116"/>
      <c r="K6" s="114">
        <f>'Custo por equipamento'!I92</f>
        <v>0</v>
      </c>
      <c r="L6" s="115" t="e">
        <f t="shared" ref="L6:L11" si="0">SUM(C6:J6)</f>
        <v>#DIV/0!</v>
      </c>
      <c r="M6" s="3"/>
      <c r="O6" s="4"/>
      <c r="R6" s="3"/>
    </row>
    <row r="7" spans="1:18" x14ac:dyDescent="0.2">
      <c r="A7" s="23" t="s">
        <v>8</v>
      </c>
      <c r="B7" s="9" t="str">
        <f>'[1]Custo por equipamento'!C103</f>
        <v>Estrutura de madeira e escada</v>
      </c>
      <c r="C7" s="81"/>
      <c r="D7" s="81"/>
      <c r="E7" s="81"/>
      <c r="F7" s="117"/>
      <c r="G7" s="113" t="e">
        <f>4074/K81</f>
        <v>#DIV/0!</v>
      </c>
      <c r="H7" s="113" t="e">
        <f>8177/K81</f>
        <v>#DIV/0!</v>
      </c>
      <c r="I7" s="113" t="e">
        <f>8178.79/K81</f>
        <v>#DIV/0!</v>
      </c>
      <c r="J7" s="116"/>
      <c r="K7" s="114">
        <f>'Custo por equipamento'!I103</f>
        <v>0</v>
      </c>
      <c r="L7" s="115" t="e">
        <f t="shared" si="0"/>
        <v>#DIV/0!</v>
      </c>
      <c r="M7" s="3"/>
      <c r="O7" s="4"/>
      <c r="R7" s="3"/>
    </row>
    <row r="8" spans="1:18" x14ac:dyDescent="0.2">
      <c r="A8" s="23" t="s">
        <v>15</v>
      </c>
      <c r="B8" s="9" t="str">
        <f>'[1]Custo por equipamento'!C109</f>
        <v xml:space="preserve">Piso em madeira </v>
      </c>
      <c r="C8" s="81"/>
      <c r="D8" s="81"/>
      <c r="E8" s="81"/>
      <c r="F8" s="117"/>
      <c r="G8" s="116"/>
      <c r="H8" s="116"/>
      <c r="I8" s="113" t="e">
        <f>5217.64/K81</f>
        <v>#DIV/0!</v>
      </c>
      <c r="J8" s="116"/>
      <c r="K8" s="114">
        <f>'Custo por equipamento'!I109</f>
        <v>0</v>
      </c>
      <c r="L8" s="115" t="e">
        <f t="shared" si="0"/>
        <v>#DIV/0!</v>
      </c>
      <c r="M8" s="3"/>
      <c r="O8" s="4"/>
      <c r="R8" s="3"/>
    </row>
    <row r="9" spans="1:18" x14ac:dyDescent="0.2">
      <c r="A9" s="23" t="s">
        <v>16</v>
      </c>
      <c r="B9" s="9" t="str">
        <f>'[1]Custo por equipamento'!C119</f>
        <v>Guarda corpo</v>
      </c>
      <c r="C9" s="81"/>
      <c r="D9" s="81"/>
      <c r="E9" s="81"/>
      <c r="F9" s="117"/>
      <c r="G9" s="116"/>
      <c r="H9" s="113" t="e">
        <f>4264.97/K81</f>
        <v>#DIV/0!</v>
      </c>
      <c r="I9" s="113" t="e">
        <f>4264.97/K81</f>
        <v>#DIV/0!</v>
      </c>
      <c r="J9" s="116"/>
      <c r="K9" s="114">
        <f>'Custo por equipamento'!I119</f>
        <v>0</v>
      </c>
      <c r="L9" s="115" t="e">
        <f t="shared" si="0"/>
        <v>#DIV/0!</v>
      </c>
      <c r="M9" s="3"/>
      <c r="O9" s="4"/>
      <c r="R9" s="3"/>
    </row>
    <row r="10" spans="1:18" x14ac:dyDescent="0.2">
      <c r="A10" s="23" t="s">
        <v>99</v>
      </c>
      <c r="B10" s="9" t="str">
        <f>'[1]Custo por equipamento'!C126</f>
        <v>Pregos e ligações metálicas necessárias</v>
      </c>
      <c r="C10" s="81"/>
      <c r="D10" s="81"/>
      <c r="E10" s="81"/>
      <c r="F10" s="117"/>
      <c r="G10" s="113" t="e">
        <f>2069/K81</f>
        <v>#DIV/0!</v>
      </c>
      <c r="H10" s="113" t="e">
        <f>2069/K81</f>
        <v>#DIV/0!</v>
      </c>
      <c r="I10" s="113" t="e">
        <f>2071/K81</f>
        <v>#DIV/0!</v>
      </c>
      <c r="J10" s="117"/>
      <c r="K10" s="114">
        <f>'Custo por equipamento'!I126</f>
        <v>0</v>
      </c>
      <c r="L10" s="115" t="e">
        <f t="shared" si="0"/>
        <v>#DIV/0!</v>
      </c>
      <c r="M10" s="3"/>
      <c r="O10" s="4"/>
      <c r="R10" s="3"/>
    </row>
    <row r="11" spans="1:18" x14ac:dyDescent="0.2">
      <c r="A11" s="23" t="s">
        <v>121</v>
      </c>
      <c r="B11" s="9" t="str">
        <f>'[1]Custo por equipamento'!C129</f>
        <v>Pintura e acabamentos</v>
      </c>
      <c r="C11" s="81"/>
      <c r="D11" s="81"/>
      <c r="E11" s="81"/>
      <c r="F11" s="118"/>
      <c r="G11" s="119"/>
      <c r="H11" s="119"/>
      <c r="I11" s="119"/>
      <c r="J11" s="120" t="e">
        <f>5265/K81</f>
        <v>#DIV/0!</v>
      </c>
      <c r="K11" s="114">
        <f>'Custo por equipamento'!I129</f>
        <v>0</v>
      </c>
      <c r="L11" s="115" t="e">
        <f t="shared" si="0"/>
        <v>#DIV/0!</v>
      </c>
      <c r="M11" s="3"/>
      <c r="O11" s="4"/>
      <c r="R11" s="3"/>
    </row>
    <row r="12" spans="1:18" ht="15" customHeight="1" x14ac:dyDescent="0.2">
      <c r="A12" s="154" t="str">
        <f>'[1]Equipamento por unidade'!C1</f>
        <v>PE RIO TURVO</v>
      </c>
      <c r="B12" s="155"/>
      <c r="C12" s="86"/>
      <c r="D12" s="87"/>
      <c r="E12" s="87"/>
      <c r="F12" s="87"/>
      <c r="G12" s="87"/>
      <c r="H12" s="87"/>
      <c r="I12" s="87"/>
      <c r="J12" s="87"/>
      <c r="K12" s="87"/>
      <c r="L12" s="121"/>
    </row>
    <row r="13" spans="1:18" x14ac:dyDescent="0.2">
      <c r="A13" s="21">
        <v>2</v>
      </c>
      <c r="B13" s="45" t="str">
        <f>'[1]Equipamento por unidade'!A4</f>
        <v>PLATAFORMA ELEVADA</v>
      </c>
      <c r="C13" s="122"/>
      <c r="D13" s="123"/>
      <c r="E13" s="123"/>
      <c r="F13" s="123"/>
      <c r="G13" s="123"/>
      <c r="H13" s="123"/>
      <c r="I13" s="123"/>
      <c r="J13" s="124"/>
      <c r="K13" s="125">
        <f>SUM(K14:K20)</f>
        <v>0</v>
      </c>
      <c r="L13" s="110" t="e">
        <f>K13/K81</f>
        <v>#DIV/0!</v>
      </c>
      <c r="M13" s="3"/>
      <c r="N13" s="4" t="e">
        <f>SUM(#REF!)</f>
        <v>#REF!</v>
      </c>
      <c r="O13" s="6"/>
    </row>
    <row r="14" spans="1:18" x14ac:dyDescent="0.2">
      <c r="A14" s="23" t="s">
        <v>5</v>
      </c>
      <c r="B14" s="9" t="str">
        <f>'[1]Custo por equipamento'!C83</f>
        <v>Início de Obra</v>
      </c>
      <c r="C14" s="126" t="e">
        <f>7285.97/K81</f>
        <v>#DIV/0!</v>
      </c>
      <c r="D14" s="112"/>
      <c r="E14" s="112"/>
      <c r="F14" s="112"/>
      <c r="G14" s="113" t="e">
        <f>1873/K81</f>
        <v>#DIV/0!</v>
      </c>
      <c r="H14" s="81"/>
      <c r="I14" s="81"/>
      <c r="J14" s="81"/>
      <c r="K14" s="114">
        <f>'Custo por equipamento'!I83</f>
        <v>0</v>
      </c>
      <c r="L14" s="115" t="e">
        <f t="shared" ref="L14:L20" si="1">SUM(C14:J14)</f>
        <v>#DIV/0!</v>
      </c>
      <c r="M14" s="3"/>
      <c r="O14" s="4"/>
      <c r="R14" s="3"/>
    </row>
    <row r="15" spans="1:18" x14ac:dyDescent="0.2">
      <c r="A15" s="23" t="s">
        <v>6</v>
      </c>
      <c r="B15" s="9" t="str">
        <f>'[1]Custo por equipamento'!C92</f>
        <v>Fundação e embasamento</v>
      </c>
      <c r="C15" s="126" t="e">
        <f>4385.03/K81</f>
        <v>#DIV/0!</v>
      </c>
      <c r="D15" s="113" t="e">
        <f>17581.87/K81</f>
        <v>#DIV/0!</v>
      </c>
      <c r="E15" s="116"/>
      <c r="F15" s="116"/>
      <c r="G15" s="116"/>
      <c r="H15" s="81"/>
      <c r="I15" s="81"/>
      <c r="J15" s="81"/>
      <c r="K15" s="114">
        <f>'Custo por equipamento'!I92</f>
        <v>0</v>
      </c>
      <c r="L15" s="115" t="e">
        <f t="shared" si="1"/>
        <v>#DIV/0!</v>
      </c>
      <c r="M15" s="3"/>
      <c r="O15" s="4"/>
      <c r="R15" s="3"/>
    </row>
    <row r="16" spans="1:18" x14ac:dyDescent="0.2">
      <c r="A16" s="23" t="s">
        <v>7</v>
      </c>
      <c r="B16" s="9" t="str">
        <f>'[1]Custo por equipamento'!C103</f>
        <v>Estrutura de madeira e escada</v>
      </c>
      <c r="C16" s="127"/>
      <c r="D16" s="113" t="e">
        <f>4074/K81</f>
        <v>#DIV/0!</v>
      </c>
      <c r="E16" s="113" t="e">
        <f>8177/K81</f>
        <v>#DIV/0!</v>
      </c>
      <c r="F16" s="113" t="e">
        <f>8178.79/K81</f>
        <v>#DIV/0!</v>
      </c>
      <c r="G16" s="116"/>
      <c r="H16" s="81"/>
      <c r="I16" s="81"/>
      <c r="J16" s="81"/>
      <c r="K16" s="114">
        <f>'Custo por equipamento'!I103</f>
        <v>0</v>
      </c>
      <c r="L16" s="115" t="e">
        <f t="shared" si="1"/>
        <v>#DIV/0!</v>
      </c>
      <c r="M16" s="3"/>
      <c r="O16" s="4"/>
      <c r="R16" s="3"/>
    </row>
    <row r="17" spans="1:18" x14ac:dyDescent="0.2">
      <c r="A17" s="23" t="s">
        <v>73</v>
      </c>
      <c r="B17" s="9" t="str">
        <f>'[1]Custo por equipamento'!C109</f>
        <v xml:space="preserve">Piso em madeira </v>
      </c>
      <c r="C17" s="127"/>
      <c r="D17" s="116"/>
      <c r="E17" s="116"/>
      <c r="F17" s="113" t="e">
        <f>5217.64/K81</f>
        <v>#DIV/0!</v>
      </c>
      <c r="G17" s="116"/>
      <c r="H17" s="81"/>
      <c r="I17" s="81"/>
      <c r="J17" s="81"/>
      <c r="K17" s="114">
        <f>'Custo por equipamento'!I109</f>
        <v>0</v>
      </c>
      <c r="L17" s="115" t="e">
        <f t="shared" si="1"/>
        <v>#DIV/0!</v>
      </c>
      <c r="M17" s="3"/>
      <c r="O17" s="4"/>
      <c r="R17" s="3"/>
    </row>
    <row r="18" spans="1:18" x14ac:dyDescent="0.2">
      <c r="A18" s="23" t="s">
        <v>74</v>
      </c>
      <c r="B18" s="9" t="str">
        <f>'[1]Custo por equipamento'!C119</f>
        <v>Guarda corpo</v>
      </c>
      <c r="C18" s="127"/>
      <c r="D18" s="116"/>
      <c r="E18" s="113" t="e">
        <f>4264.97/K81</f>
        <v>#DIV/0!</v>
      </c>
      <c r="F18" s="113" t="e">
        <f>4264.97/K81</f>
        <v>#DIV/0!</v>
      </c>
      <c r="G18" s="116"/>
      <c r="H18" s="81"/>
      <c r="I18" s="81"/>
      <c r="J18" s="81"/>
      <c r="K18" s="114">
        <f>'Custo por equipamento'!I119</f>
        <v>0</v>
      </c>
      <c r="L18" s="115" t="e">
        <f t="shared" si="1"/>
        <v>#DIV/0!</v>
      </c>
      <c r="M18" s="3"/>
      <c r="O18" s="4">
        <f>SUM(O5:O17)</f>
        <v>0</v>
      </c>
      <c r="R18" s="3"/>
    </row>
    <row r="19" spans="1:18" x14ac:dyDescent="0.2">
      <c r="A19" s="23" t="s">
        <v>75</v>
      </c>
      <c r="B19" s="9" t="str">
        <f>'[1]Custo por equipamento'!C126</f>
        <v>Pregos e ligações metálicas necessárias</v>
      </c>
      <c r="C19" s="128"/>
      <c r="D19" s="113" t="e">
        <f>2069/K81</f>
        <v>#DIV/0!</v>
      </c>
      <c r="E19" s="113" t="e">
        <f>2069/K81</f>
        <v>#DIV/0!</v>
      </c>
      <c r="F19" s="113" t="e">
        <f>2071/K81</f>
        <v>#DIV/0!</v>
      </c>
      <c r="G19" s="117"/>
      <c r="H19" s="81"/>
      <c r="I19" s="81"/>
      <c r="J19" s="81"/>
      <c r="K19" s="114">
        <f>'Custo por equipamento'!I126</f>
        <v>0</v>
      </c>
      <c r="L19" s="115" t="e">
        <f t="shared" si="1"/>
        <v>#DIV/0!</v>
      </c>
      <c r="M19" s="3"/>
      <c r="O19" s="4"/>
      <c r="R19" s="3"/>
    </row>
    <row r="20" spans="1:18" x14ac:dyDescent="0.2">
      <c r="A20" s="23" t="s">
        <v>122</v>
      </c>
      <c r="B20" s="9" t="str">
        <f>'[1]Custo por equipamento'!C129</f>
        <v>Pintura e acabamentos</v>
      </c>
      <c r="C20" s="129"/>
      <c r="D20" s="119"/>
      <c r="E20" s="119"/>
      <c r="F20" s="119"/>
      <c r="G20" s="120" t="e">
        <f>5265/K81</f>
        <v>#DIV/0!</v>
      </c>
      <c r="H20" s="99"/>
      <c r="I20" s="99"/>
      <c r="J20" s="99"/>
      <c r="K20" s="114">
        <f>'Custo por equipamento'!I129</f>
        <v>0</v>
      </c>
      <c r="L20" s="115" t="e">
        <f t="shared" si="1"/>
        <v>#DIV/0!</v>
      </c>
      <c r="M20" s="3"/>
      <c r="O20" s="4"/>
      <c r="R20" s="3"/>
    </row>
    <row r="21" spans="1:18" ht="15" customHeight="1" x14ac:dyDescent="0.2">
      <c r="A21" s="154" t="str">
        <f>'[1]Equipamento por unidade'!D1</f>
        <v>PE CAVERNA DO DIABO</v>
      </c>
      <c r="B21" s="155"/>
      <c r="C21" s="130"/>
      <c r="D21" s="130"/>
      <c r="E21" s="130"/>
      <c r="F21" s="130"/>
      <c r="G21" s="130"/>
      <c r="H21" s="87"/>
      <c r="I21" s="87"/>
      <c r="J21" s="87"/>
      <c r="K21" s="87"/>
      <c r="L21" s="121"/>
    </row>
    <row r="22" spans="1:18" x14ac:dyDescent="0.2">
      <c r="A22" s="21">
        <v>3</v>
      </c>
      <c r="B22" s="45" t="str">
        <f>'[1]Equipamento por unidade'!A4</f>
        <v>PLATAFORMA ELEVADA</v>
      </c>
      <c r="C22" s="122"/>
      <c r="D22" s="123"/>
      <c r="E22" s="123"/>
      <c r="F22" s="123"/>
      <c r="G22" s="123"/>
      <c r="H22" s="123"/>
      <c r="I22" s="123"/>
      <c r="J22" s="124"/>
      <c r="K22" s="125">
        <f>SUM(K23:K29)</f>
        <v>0</v>
      </c>
      <c r="L22" s="110" t="e">
        <f>K22/K81</f>
        <v>#DIV/0!</v>
      </c>
      <c r="M22" s="3"/>
      <c r="N22" s="4">
        <f>SUM(M95:M95)</f>
        <v>0</v>
      </c>
      <c r="O22" s="6"/>
    </row>
    <row r="23" spans="1:18" x14ac:dyDescent="0.2">
      <c r="A23" s="23" t="s">
        <v>45</v>
      </c>
      <c r="B23" s="9" t="str">
        <f>'[1]Custo por equipamento'!C83</f>
        <v>Início de Obra</v>
      </c>
      <c r="C23" s="126" t="e">
        <f>7285.97/K81</f>
        <v>#DIV/0!</v>
      </c>
      <c r="D23" s="112"/>
      <c r="E23" s="112"/>
      <c r="F23" s="112"/>
      <c r="G23" s="113" t="e">
        <f>1873/K81</f>
        <v>#DIV/0!</v>
      </c>
      <c r="H23" s="81"/>
      <c r="I23" s="81"/>
      <c r="J23" s="81"/>
      <c r="K23" s="114">
        <f>'Custo por equipamento'!I83</f>
        <v>0</v>
      </c>
      <c r="L23" s="115" t="e">
        <f t="shared" ref="L23:L29" si="2">SUM(C23:J23)</f>
        <v>#DIV/0!</v>
      </c>
      <c r="M23" s="3"/>
      <c r="O23" s="4"/>
      <c r="R23" s="3"/>
    </row>
    <row r="24" spans="1:18" x14ac:dyDescent="0.2">
      <c r="A24" s="23" t="s">
        <v>46</v>
      </c>
      <c r="B24" s="9" t="str">
        <f>'[1]Custo por equipamento'!C92</f>
        <v>Fundação e embasamento</v>
      </c>
      <c r="C24" s="126" t="e">
        <f>4385.03/K81</f>
        <v>#DIV/0!</v>
      </c>
      <c r="D24" s="113" t="e">
        <f>17581.87/K81</f>
        <v>#DIV/0!</v>
      </c>
      <c r="E24" s="116"/>
      <c r="F24" s="116"/>
      <c r="G24" s="116"/>
      <c r="H24" s="81"/>
      <c r="I24" s="81"/>
      <c r="J24" s="81"/>
      <c r="K24" s="114">
        <f>'Custo por equipamento'!I92</f>
        <v>0</v>
      </c>
      <c r="L24" s="115" t="e">
        <f t="shared" si="2"/>
        <v>#DIV/0!</v>
      </c>
      <c r="M24" s="3"/>
      <c r="O24" s="4"/>
      <c r="R24" s="3"/>
    </row>
    <row r="25" spans="1:18" x14ac:dyDescent="0.2">
      <c r="A25" s="23" t="s">
        <v>47</v>
      </c>
      <c r="B25" s="9" t="str">
        <f>'[1]Custo por equipamento'!C103</f>
        <v>Estrutura de madeira e escada</v>
      </c>
      <c r="C25" s="127"/>
      <c r="D25" s="113" t="e">
        <f>4074/K81</f>
        <v>#DIV/0!</v>
      </c>
      <c r="E25" s="113" t="e">
        <f>8177/K81</f>
        <v>#DIV/0!</v>
      </c>
      <c r="F25" s="113" t="e">
        <f>8178.79/K81</f>
        <v>#DIV/0!</v>
      </c>
      <c r="G25" s="116"/>
      <c r="H25" s="81"/>
      <c r="I25" s="81"/>
      <c r="J25" s="81"/>
      <c r="K25" s="114">
        <f>'Custo por equipamento'!I103</f>
        <v>0</v>
      </c>
      <c r="L25" s="115" t="e">
        <f t="shared" si="2"/>
        <v>#DIV/0!</v>
      </c>
      <c r="M25" s="3"/>
      <c r="O25" s="4"/>
      <c r="R25" s="3"/>
    </row>
    <row r="26" spans="1:18" x14ac:dyDescent="0.2">
      <c r="A26" s="23" t="s">
        <v>48</v>
      </c>
      <c r="B26" s="9" t="str">
        <f>'[1]Custo por equipamento'!C109</f>
        <v xml:space="preserve">Piso em madeira </v>
      </c>
      <c r="C26" s="127"/>
      <c r="D26" s="116"/>
      <c r="E26" s="116"/>
      <c r="F26" s="113" t="e">
        <f>5217.64/K81</f>
        <v>#DIV/0!</v>
      </c>
      <c r="G26" s="116"/>
      <c r="H26" s="81"/>
      <c r="I26" s="81"/>
      <c r="J26" s="81"/>
      <c r="K26" s="114">
        <f>'Custo por equipamento'!I109</f>
        <v>0</v>
      </c>
      <c r="L26" s="115" t="e">
        <f t="shared" si="2"/>
        <v>#DIV/0!</v>
      </c>
      <c r="M26" s="3"/>
      <c r="O26" s="4"/>
      <c r="R26" s="3"/>
    </row>
    <row r="27" spans="1:18" x14ac:dyDescent="0.2">
      <c r="A27" s="23" t="s">
        <v>76</v>
      </c>
      <c r="B27" s="9" t="str">
        <f>'[1]Custo por equipamento'!C119</f>
        <v>Guarda corpo</v>
      </c>
      <c r="C27" s="127"/>
      <c r="D27" s="116"/>
      <c r="E27" s="113" t="e">
        <f>4264.97/K81</f>
        <v>#DIV/0!</v>
      </c>
      <c r="F27" s="113" t="e">
        <f>4264.97/K81</f>
        <v>#DIV/0!</v>
      </c>
      <c r="G27" s="116"/>
      <c r="H27" s="81"/>
      <c r="I27" s="81"/>
      <c r="J27" s="81"/>
      <c r="K27" s="114">
        <f>'Custo por equipamento'!I119</f>
        <v>0</v>
      </c>
      <c r="L27" s="115" t="e">
        <f t="shared" si="2"/>
        <v>#DIV/0!</v>
      </c>
      <c r="M27" s="3"/>
      <c r="O27" s="4"/>
      <c r="R27" s="3"/>
    </row>
    <row r="28" spans="1:18" x14ac:dyDescent="0.2">
      <c r="A28" s="23" t="s">
        <v>77</v>
      </c>
      <c r="B28" s="9" t="str">
        <f>'[1]Custo por equipamento'!C126</f>
        <v>Pregos e ligações metálicas necessárias</v>
      </c>
      <c r="C28" s="128"/>
      <c r="D28" s="113" t="e">
        <f>2069/K81</f>
        <v>#DIV/0!</v>
      </c>
      <c r="E28" s="113" t="e">
        <f>2069/K81</f>
        <v>#DIV/0!</v>
      </c>
      <c r="F28" s="113" t="e">
        <f>2071/K81</f>
        <v>#DIV/0!</v>
      </c>
      <c r="G28" s="117"/>
      <c r="H28" s="81"/>
      <c r="I28" s="81"/>
      <c r="J28" s="81"/>
      <c r="K28" s="114">
        <f>'Custo por equipamento'!I126</f>
        <v>0</v>
      </c>
      <c r="L28" s="115" t="e">
        <f t="shared" si="2"/>
        <v>#DIV/0!</v>
      </c>
      <c r="M28" s="3"/>
      <c r="O28" s="4"/>
      <c r="R28" s="3"/>
    </row>
    <row r="29" spans="1:18" x14ac:dyDescent="0.2">
      <c r="A29" s="23" t="s">
        <v>78</v>
      </c>
      <c r="B29" s="9" t="str">
        <f>'[1]Custo por equipamento'!C129</f>
        <v>Pintura e acabamentos</v>
      </c>
      <c r="C29" s="129"/>
      <c r="D29" s="119"/>
      <c r="E29" s="119"/>
      <c r="F29" s="119"/>
      <c r="G29" s="120" t="e">
        <f>5265/K81</f>
        <v>#DIV/0!</v>
      </c>
      <c r="H29" s="99"/>
      <c r="I29" s="99"/>
      <c r="J29" s="99"/>
      <c r="K29" s="114">
        <f>'Custo por equipamento'!I129</f>
        <v>0</v>
      </c>
      <c r="L29" s="115" t="e">
        <f t="shared" si="2"/>
        <v>#DIV/0!</v>
      </c>
      <c r="M29" s="3"/>
      <c r="O29" s="4"/>
      <c r="R29" s="3"/>
    </row>
    <row r="30" spans="1:18" ht="15" customHeight="1" x14ac:dyDescent="0.2">
      <c r="A30" s="154" t="s">
        <v>134</v>
      </c>
      <c r="B30" s="155"/>
      <c r="C30" s="86"/>
      <c r="D30" s="87"/>
      <c r="E30" s="87"/>
      <c r="F30" s="87"/>
      <c r="G30" s="87"/>
      <c r="H30" s="87"/>
      <c r="I30" s="87"/>
      <c r="J30" s="87"/>
      <c r="K30" s="87"/>
      <c r="L30" s="121"/>
    </row>
    <row r="31" spans="1:18" x14ac:dyDescent="0.2">
      <c r="A31" s="21">
        <v>4</v>
      </c>
      <c r="B31" s="45" t="str">
        <f>B40</f>
        <v>PLATAFORMA ELEVADA</v>
      </c>
      <c r="C31" s="122"/>
      <c r="D31" s="123"/>
      <c r="E31" s="123"/>
      <c r="F31" s="123"/>
      <c r="G31" s="123"/>
      <c r="H31" s="123"/>
      <c r="I31" s="123"/>
      <c r="J31" s="124"/>
      <c r="K31" s="125">
        <f>SUM(K32:K38)</f>
        <v>0</v>
      </c>
      <c r="L31" s="110" t="e">
        <f>K31/K81</f>
        <v>#DIV/0!</v>
      </c>
      <c r="M31" s="3"/>
      <c r="N31" s="4">
        <f>SUM(M93:M93)</f>
        <v>0</v>
      </c>
      <c r="O31" s="6"/>
    </row>
    <row r="32" spans="1:18" x14ac:dyDescent="0.2">
      <c r="A32" s="23" t="s">
        <v>79</v>
      </c>
      <c r="B32" s="9" t="str">
        <f>B41</f>
        <v>Início de Obra</v>
      </c>
      <c r="C32" s="131"/>
      <c r="D32" s="81"/>
      <c r="E32" s="81"/>
      <c r="F32" s="111" t="e">
        <f>7285.97/K81</f>
        <v>#DIV/0!</v>
      </c>
      <c r="G32" s="112"/>
      <c r="H32" s="112"/>
      <c r="I32" s="112"/>
      <c r="J32" s="113" t="e">
        <f>1873/K81</f>
        <v>#DIV/0!</v>
      </c>
      <c r="K32" s="114">
        <f>'Custo por equipamento'!I83</f>
        <v>0</v>
      </c>
      <c r="L32" s="115" t="e">
        <f t="shared" ref="L32:L38" si="3">SUM(C32:J32)</f>
        <v>#DIV/0!</v>
      </c>
      <c r="M32" s="3"/>
      <c r="O32" s="4"/>
      <c r="R32" s="3"/>
    </row>
    <row r="33" spans="1:18" x14ac:dyDescent="0.2">
      <c r="A33" s="23" t="s">
        <v>135</v>
      </c>
      <c r="B33" s="9" t="str">
        <f t="shared" ref="B33:B38" si="4">B42</f>
        <v>Fundação e embasamento</v>
      </c>
      <c r="C33" s="131"/>
      <c r="D33" s="81"/>
      <c r="E33" s="81"/>
      <c r="F33" s="111" t="e">
        <f>4385.03/K81</f>
        <v>#DIV/0!</v>
      </c>
      <c r="G33" s="113" t="e">
        <f>17581.87/K81</f>
        <v>#DIV/0!</v>
      </c>
      <c r="H33" s="116"/>
      <c r="I33" s="116"/>
      <c r="J33" s="116"/>
      <c r="K33" s="114">
        <f>'Custo por equipamento'!I92</f>
        <v>0</v>
      </c>
      <c r="L33" s="115" t="e">
        <f t="shared" si="3"/>
        <v>#DIV/0!</v>
      </c>
      <c r="M33" s="3"/>
      <c r="O33" s="4"/>
      <c r="R33" s="3"/>
    </row>
    <row r="34" spans="1:18" x14ac:dyDescent="0.2">
      <c r="A34" s="23" t="s">
        <v>136</v>
      </c>
      <c r="B34" s="9" t="str">
        <f t="shared" si="4"/>
        <v>Estrutura de madeira e escada</v>
      </c>
      <c r="C34" s="131"/>
      <c r="D34" s="81"/>
      <c r="E34" s="81"/>
      <c r="F34" s="117"/>
      <c r="G34" s="113" t="e">
        <f>4074/K81</f>
        <v>#DIV/0!</v>
      </c>
      <c r="H34" s="113" t="e">
        <f>8177/K81</f>
        <v>#DIV/0!</v>
      </c>
      <c r="I34" s="113" t="e">
        <f>8178.79/K81</f>
        <v>#DIV/0!</v>
      </c>
      <c r="J34" s="116"/>
      <c r="K34" s="114">
        <f>'Custo por equipamento'!I103</f>
        <v>0</v>
      </c>
      <c r="L34" s="115" t="e">
        <f t="shared" si="3"/>
        <v>#DIV/0!</v>
      </c>
      <c r="M34" s="3"/>
      <c r="O34" s="4"/>
      <c r="R34" s="3"/>
    </row>
    <row r="35" spans="1:18" x14ac:dyDescent="0.2">
      <c r="A35" s="23" t="s">
        <v>137</v>
      </c>
      <c r="B35" s="9" t="str">
        <f t="shared" si="4"/>
        <v xml:space="preserve">Piso em madeira </v>
      </c>
      <c r="C35" s="131"/>
      <c r="D35" s="81"/>
      <c r="E35" s="81"/>
      <c r="F35" s="117"/>
      <c r="G35" s="116"/>
      <c r="H35" s="116"/>
      <c r="I35" s="113" t="e">
        <f>5217.64/K81</f>
        <v>#DIV/0!</v>
      </c>
      <c r="J35" s="116"/>
      <c r="K35" s="114">
        <f>'Custo por equipamento'!I109</f>
        <v>0</v>
      </c>
      <c r="L35" s="115" t="e">
        <f t="shared" si="3"/>
        <v>#DIV/0!</v>
      </c>
      <c r="M35" s="3"/>
      <c r="O35" s="4"/>
      <c r="R35" s="3"/>
    </row>
    <row r="36" spans="1:18" x14ac:dyDescent="0.2">
      <c r="A36" s="23" t="s">
        <v>138</v>
      </c>
      <c r="B36" s="9" t="str">
        <f t="shared" si="4"/>
        <v>Guarda corpo</v>
      </c>
      <c r="C36" s="131"/>
      <c r="D36" s="81"/>
      <c r="E36" s="81"/>
      <c r="F36" s="117"/>
      <c r="G36" s="116"/>
      <c r="H36" s="113" t="e">
        <f>4264.97/K81</f>
        <v>#DIV/0!</v>
      </c>
      <c r="I36" s="113" t="e">
        <f>4264.97/K81</f>
        <v>#DIV/0!</v>
      </c>
      <c r="J36" s="116"/>
      <c r="K36" s="114">
        <f>'Custo por equipamento'!I119</f>
        <v>0</v>
      </c>
      <c r="L36" s="115" t="e">
        <f t="shared" si="3"/>
        <v>#DIV/0!</v>
      </c>
      <c r="M36" s="3"/>
      <c r="O36" s="4"/>
      <c r="R36" s="3"/>
    </row>
    <row r="37" spans="1:18" x14ac:dyDescent="0.2">
      <c r="A37" s="23" t="s">
        <v>139</v>
      </c>
      <c r="B37" s="9" t="str">
        <f t="shared" si="4"/>
        <v>Pregos e ligações metálicas necessárias</v>
      </c>
      <c r="C37" s="131"/>
      <c r="D37" s="81"/>
      <c r="E37" s="81"/>
      <c r="F37" s="117"/>
      <c r="G37" s="113" t="e">
        <f>2069/K81</f>
        <v>#DIV/0!</v>
      </c>
      <c r="H37" s="113" t="e">
        <f>2069/K81</f>
        <v>#DIV/0!</v>
      </c>
      <c r="I37" s="113" t="e">
        <f>2071/K81</f>
        <v>#DIV/0!</v>
      </c>
      <c r="J37" s="117"/>
      <c r="K37" s="114">
        <f>'Custo por equipamento'!I126</f>
        <v>0</v>
      </c>
      <c r="L37" s="115" t="e">
        <f t="shared" si="3"/>
        <v>#DIV/0!</v>
      </c>
      <c r="M37" s="3"/>
      <c r="O37" s="4"/>
      <c r="R37" s="3"/>
    </row>
    <row r="38" spans="1:18" x14ac:dyDescent="0.2">
      <c r="A38" s="23" t="s">
        <v>140</v>
      </c>
      <c r="B38" s="9" t="str">
        <f t="shared" si="4"/>
        <v>Pintura e acabamentos</v>
      </c>
      <c r="C38" s="98"/>
      <c r="D38" s="99"/>
      <c r="E38" s="99"/>
      <c r="F38" s="118"/>
      <c r="G38" s="119"/>
      <c r="H38" s="119"/>
      <c r="I38" s="119"/>
      <c r="J38" s="120" t="e">
        <f>5265/K81</f>
        <v>#DIV/0!</v>
      </c>
      <c r="K38" s="114">
        <f>'Custo por equipamento'!I129</f>
        <v>0</v>
      </c>
      <c r="L38" s="115" t="e">
        <f t="shared" si="3"/>
        <v>#DIV/0!</v>
      </c>
      <c r="M38" s="3"/>
      <c r="O38" s="4"/>
      <c r="R38" s="3"/>
    </row>
    <row r="39" spans="1:18" ht="15" customHeight="1" x14ac:dyDescent="0.2">
      <c r="A39" s="154" t="str">
        <f>'[1]Equipamento por unidade'!F1</f>
        <v>PESM CARAGUATATUBA</v>
      </c>
      <c r="B39" s="155"/>
      <c r="C39" s="86"/>
      <c r="D39" s="87"/>
      <c r="E39" s="87"/>
      <c r="F39" s="87"/>
      <c r="G39" s="87"/>
      <c r="H39" s="87"/>
      <c r="I39" s="87"/>
      <c r="J39" s="87"/>
      <c r="K39" s="87"/>
      <c r="L39" s="121"/>
    </row>
    <row r="40" spans="1:18" x14ac:dyDescent="0.2">
      <c r="A40" s="132">
        <v>5</v>
      </c>
      <c r="B40" s="133" t="str">
        <f>'[1]Equipamento por unidade'!A4</f>
        <v>PLATAFORMA ELEVADA</v>
      </c>
      <c r="C40" s="122"/>
      <c r="D40" s="123"/>
      <c r="E40" s="123"/>
      <c r="F40" s="123"/>
      <c r="G40" s="123"/>
      <c r="H40" s="123"/>
      <c r="I40" s="123"/>
      <c r="J40" s="124"/>
      <c r="K40" s="125">
        <f>SUM(K41:K47)</f>
        <v>0</v>
      </c>
      <c r="L40" s="110" t="e">
        <f>K40/K81</f>
        <v>#DIV/0!</v>
      </c>
      <c r="M40" s="3"/>
      <c r="N40" s="4">
        <f>SUM(M103:M103)</f>
        <v>0</v>
      </c>
      <c r="O40" s="6"/>
    </row>
    <row r="41" spans="1:18" x14ac:dyDescent="0.2">
      <c r="A41" s="134" t="s">
        <v>80</v>
      </c>
      <c r="B41" s="135" t="str">
        <f>'[1]Custo por equipamento'!C83</f>
        <v>Início de Obra</v>
      </c>
      <c r="C41" s="131"/>
      <c r="D41" s="113" t="e">
        <f>7285.97/K81</f>
        <v>#DIV/0!</v>
      </c>
      <c r="E41" s="112"/>
      <c r="F41" s="112"/>
      <c r="G41" s="112"/>
      <c r="H41" s="113" t="e">
        <f>1873/K81</f>
        <v>#DIV/0!</v>
      </c>
      <c r="I41" s="81"/>
      <c r="J41" s="81"/>
      <c r="K41" s="114">
        <f>'Custo por equipamento'!I83</f>
        <v>0</v>
      </c>
      <c r="L41" s="115" t="e">
        <f t="shared" ref="L41:L47" si="5">SUM(C41:J41)</f>
        <v>#DIV/0!</v>
      </c>
      <c r="M41" s="3"/>
      <c r="O41" s="4"/>
      <c r="R41" s="3"/>
    </row>
    <row r="42" spans="1:18" x14ac:dyDescent="0.2">
      <c r="A42" s="134" t="s">
        <v>81</v>
      </c>
      <c r="B42" s="135" t="str">
        <f>'[1]Custo por equipamento'!C92</f>
        <v>Fundação e embasamento</v>
      </c>
      <c r="C42" s="131"/>
      <c r="D42" s="113" t="e">
        <f>4385.03/K81</f>
        <v>#DIV/0!</v>
      </c>
      <c r="E42" s="113" t="e">
        <f>17581.87/K81</f>
        <v>#DIV/0!</v>
      </c>
      <c r="F42" s="116"/>
      <c r="G42" s="116"/>
      <c r="H42" s="116"/>
      <c r="I42" s="81"/>
      <c r="J42" s="81"/>
      <c r="K42" s="114">
        <f>'Custo por equipamento'!I92</f>
        <v>0</v>
      </c>
      <c r="L42" s="115" t="e">
        <f t="shared" si="5"/>
        <v>#DIV/0!</v>
      </c>
      <c r="M42" s="3"/>
      <c r="O42" s="4"/>
      <c r="R42" s="3"/>
    </row>
    <row r="43" spans="1:18" x14ac:dyDescent="0.2">
      <c r="A43" s="134" t="s">
        <v>165</v>
      </c>
      <c r="B43" s="135" t="str">
        <f>'[1]Custo por equipamento'!C103</f>
        <v>Estrutura de madeira e escada</v>
      </c>
      <c r="C43" s="131"/>
      <c r="D43" s="136"/>
      <c r="E43" s="113" t="e">
        <f>4074/K81</f>
        <v>#DIV/0!</v>
      </c>
      <c r="F43" s="113" t="e">
        <f>8177/K81</f>
        <v>#DIV/0!</v>
      </c>
      <c r="G43" s="113" t="e">
        <f>8178.79/K81</f>
        <v>#DIV/0!</v>
      </c>
      <c r="H43" s="116"/>
      <c r="I43" s="81"/>
      <c r="J43" s="81"/>
      <c r="K43" s="114">
        <f>'Custo por equipamento'!I103</f>
        <v>0</v>
      </c>
      <c r="L43" s="115" t="e">
        <f t="shared" si="5"/>
        <v>#DIV/0!</v>
      </c>
      <c r="M43" s="3"/>
      <c r="O43" s="4"/>
      <c r="R43" s="3"/>
    </row>
    <row r="44" spans="1:18" x14ac:dyDescent="0.2">
      <c r="A44" s="134" t="s">
        <v>166</v>
      </c>
      <c r="B44" s="135" t="str">
        <f>'[1]Custo por equipamento'!C109</f>
        <v xml:space="preserve">Piso em madeira </v>
      </c>
      <c r="C44" s="131"/>
      <c r="D44" s="136"/>
      <c r="E44" s="116"/>
      <c r="F44" s="116"/>
      <c r="G44" s="113" t="e">
        <f>5217.64/K81</f>
        <v>#DIV/0!</v>
      </c>
      <c r="H44" s="116"/>
      <c r="I44" s="81"/>
      <c r="J44" s="81"/>
      <c r="K44" s="114">
        <f>'Custo por equipamento'!I109</f>
        <v>0</v>
      </c>
      <c r="L44" s="115" t="e">
        <f t="shared" si="5"/>
        <v>#DIV/0!</v>
      </c>
      <c r="M44" s="3"/>
      <c r="O44" s="4"/>
      <c r="R44" s="3"/>
    </row>
    <row r="45" spans="1:18" x14ac:dyDescent="0.2">
      <c r="A45" s="134" t="s">
        <v>167</v>
      </c>
      <c r="B45" s="135" t="str">
        <f>'[1]Custo por equipamento'!C119</f>
        <v>Guarda corpo</v>
      </c>
      <c r="C45" s="131"/>
      <c r="D45" s="136"/>
      <c r="E45" s="116"/>
      <c r="F45" s="113" t="e">
        <f>4264.97/K81</f>
        <v>#DIV/0!</v>
      </c>
      <c r="G45" s="113" t="e">
        <f>4264.97/K81</f>
        <v>#DIV/0!</v>
      </c>
      <c r="H45" s="116"/>
      <c r="I45" s="81"/>
      <c r="J45" s="81"/>
      <c r="K45" s="114">
        <f>'Custo por equipamento'!I119</f>
        <v>0</v>
      </c>
      <c r="L45" s="115" t="e">
        <f t="shared" si="5"/>
        <v>#DIV/0!</v>
      </c>
      <c r="M45" s="3"/>
      <c r="O45" s="4"/>
      <c r="R45" s="3"/>
    </row>
    <row r="46" spans="1:18" x14ac:dyDescent="0.2">
      <c r="A46" s="134" t="s">
        <v>168</v>
      </c>
      <c r="B46" s="135" t="str">
        <f>'[1]Custo por equipamento'!C126</f>
        <v>Pregos e ligações metálicas necessárias</v>
      </c>
      <c r="C46" s="131"/>
      <c r="D46" s="136"/>
      <c r="E46" s="113" t="e">
        <f>2069/K81</f>
        <v>#DIV/0!</v>
      </c>
      <c r="F46" s="113" t="e">
        <f>2069/K81</f>
        <v>#DIV/0!</v>
      </c>
      <c r="G46" s="113" t="e">
        <f>2071/K81</f>
        <v>#DIV/0!</v>
      </c>
      <c r="H46" s="117"/>
      <c r="I46" s="81"/>
      <c r="J46" s="81"/>
      <c r="K46" s="114">
        <f>'Custo por equipamento'!I126</f>
        <v>0</v>
      </c>
      <c r="L46" s="115" t="e">
        <f t="shared" si="5"/>
        <v>#DIV/0!</v>
      </c>
      <c r="M46" s="3"/>
      <c r="O46" s="4"/>
      <c r="R46" s="3"/>
    </row>
    <row r="47" spans="1:18" x14ac:dyDescent="0.2">
      <c r="A47" s="134" t="s">
        <v>169</v>
      </c>
      <c r="B47" s="137" t="str">
        <f>'[1]Custo por equipamento'!C129</f>
        <v>Pintura e acabamentos</v>
      </c>
      <c r="C47" s="98"/>
      <c r="D47" s="138"/>
      <c r="E47" s="119"/>
      <c r="F47" s="119"/>
      <c r="G47" s="119"/>
      <c r="H47" s="120" t="e">
        <f>5265/K81</f>
        <v>#DIV/0!</v>
      </c>
      <c r="I47" s="99"/>
      <c r="J47" s="99"/>
      <c r="K47" s="114">
        <f>'Custo por equipamento'!I129</f>
        <v>0</v>
      </c>
      <c r="L47" s="115" t="e">
        <f t="shared" si="5"/>
        <v>#DIV/0!</v>
      </c>
      <c r="M47" s="3"/>
      <c r="O47" s="4"/>
      <c r="R47" s="3"/>
    </row>
    <row r="48" spans="1:18" ht="15" customHeight="1" x14ac:dyDescent="0.2">
      <c r="A48" s="154" t="str">
        <f>'[1]Equipamento por unidade'!G1</f>
        <v>PESM CUNHA</v>
      </c>
      <c r="B48" s="155"/>
      <c r="C48" s="86"/>
      <c r="D48" s="87"/>
      <c r="E48" s="87"/>
      <c r="F48" s="87"/>
      <c r="G48" s="87"/>
      <c r="H48" s="87"/>
      <c r="I48" s="87"/>
      <c r="J48" s="87"/>
      <c r="K48" s="87"/>
      <c r="L48" s="121"/>
    </row>
    <row r="49" spans="1:18" x14ac:dyDescent="0.2">
      <c r="A49" s="21">
        <v>6</v>
      </c>
      <c r="B49" s="45" t="str">
        <f>'[1]Equipamento por unidade'!A3</f>
        <v>HIDE/BLIND ELEVAÇÃO EM TELA</v>
      </c>
      <c r="C49" s="122"/>
      <c r="D49" s="123"/>
      <c r="E49" s="123"/>
      <c r="F49" s="123"/>
      <c r="G49" s="123"/>
      <c r="H49" s="123"/>
      <c r="I49" s="123"/>
      <c r="J49" s="124"/>
      <c r="K49" s="125">
        <f>SUM(K50:K55)</f>
        <v>0</v>
      </c>
      <c r="L49" s="110" t="e">
        <f>K49/K81</f>
        <v>#DIV/0!</v>
      </c>
      <c r="M49" s="3"/>
      <c r="N49" s="4">
        <f>SUM(M111:M111)</f>
        <v>0</v>
      </c>
      <c r="O49" s="6"/>
    </row>
    <row r="50" spans="1:18" x14ac:dyDescent="0.2">
      <c r="A50" s="23" t="s">
        <v>159</v>
      </c>
      <c r="B50" s="9" t="str">
        <f>'[1]Custo por equipamento'!C3</f>
        <v>Início de Obra</v>
      </c>
      <c r="C50" s="131"/>
      <c r="D50" s="81"/>
      <c r="E50" s="111" t="e">
        <f>4188.05/K81</f>
        <v>#DIV/0!</v>
      </c>
      <c r="F50" s="116"/>
      <c r="G50" s="116"/>
      <c r="H50" s="116"/>
      <c r="I50" s="111" t="e">
        <f>896/K81</f>
        <v>#DIV/0!</v>
      </c>
      <c r="J50" s="81"/>
      <c r="K50" s="114">
        <f>'Custo por equipamento'!I41</f>
        <v>0</v>
      </c>
      <c r="L50" s="115" t="e">
        <f t="shared" ref="L50:L55" si="6">SUM(C50:J50)</f>
        <v>#DIV/0!</v>
      </c>
      <c r="M50" s="3"/>
      <c r="O50" s="4"/>
      <c r="R50" s="3"/>
    </row>
    <row r="51" spans="1:18" x14ac:dyDescent="0.2">
      <c r="A51" s="23" t="s">
        <v>160</v>
      </c>
      <c r="B51" s="9" t="str">
        <f>'[1]Custo por equipamento'!C11</f>
        <v>Embasamento</v>
      </c>
      <c r="C51" s="131"/>
      <c r="D51" s="81"/>
      <c r="E51" s="111" t="e">
        <f>17/K81</f>
        <v>#DIV/0!</v>
      </c>
      <c r="F51" s="111" t="e">
        <f>8548/K81</f>
        <v>#DIV/0!</v>
      </c>
      <c r="G51" s="111" t="e">
        <f>3531.56/K81</f>
        <v>#DIV/0!</v>
      </c>
      <c r="H51" s="116"/>
      <c r="I51" s="116"/>
      <c r="J51" s="81"/>
      <c r="K51" s="114">
        <f>'Custo por equipamento'!I49</f>
        <v>0</v>
      </c>
      <c r="L51" s="115" t="e">
        <f t="shared" si="6"/>
        <v>#DIV/0!</v>
      </c>
      <c r="M51" s="3"/>
      <c r="O51" s="4"/>
      <c r="R51" s="3"/>
    </row>
    <row r="52" spans="1:18" x14ac:dyDescent="0.2">
      <c r="A52" s="23" t="s">
        <v>161</v>
      </c>
      <c r="B52" s="9" t="str">
        <f>'[1]Custo por equipamento'!C21</f>
        <v>Madeiras</v>
      </c>
      <c r="C52" s="131"/>
      <c r="D52" s="81"/>
      <c r="E52" s="116"/>
      <c r="F52" s="116"/>
      <c r="G52" s="111" t="e">
        <f>1450/K81</f>
        <v>#DIV/0!</v>
      </c>
      <c r="H52" s="111" t="e">
        <f>5692.63/K81</f>
        <v>#DIV/0!</v>
      </c>
      <c r="I52" s="116"/>
      <c r="J52" s="81"/>
      <c r="K52" s="114">
        <f>'Custo por equipamento'!I59</f>
        <v>0</v>
      </c>
      <c r="L52" s="115" t="e">
        <f t="shared" si="6"/>
        <v>#DIV/0!</v>
      </c>
      <c r="M52" s="3"/>
      <c r="O52" s="4"/>
      <c r="R52" s="3"/>
    </row>
    <row r="53" spans="1:18" x14ac:dyDescent="0.2">
      <c r="A53" s="23" t="s">
        <v>162</v>
      </c>
      <c r="B53" s="9" t="str">
        <f>'[1]Custo por equipamento'!C69</f>
        <v>Tela de proteção/camuflagen</v>
      </c>
      <c r="C53" s="131"/>
      <c r="D53" s="81"/>
      <c r="E53" s="116"/>
      <c r="F53" s="116"/>
      <c r="G53" s="116"/>
      <c r="H53" s="116"/>
      <c r="I53" s="111" t="e">
        <f>200.05/K81</f>
        <v>#DIV/0!</v>
      </c>
      <c r="J53" s="81"/>
      <c r="K53" s="114">
        <f>'Custo por equipamento'!I69</f>
        <v>0</v>
      </c>
      <c r="L53" s="115" t="e">
        <f t="shared" si="6"/>
        <v>#DIV/0!</v>
      </c>
      <c r="M53" s="3"/>
      <c r="O53" s="4"/>
      <c r="R53" s="3"/>
    </row>
    <row r="54" spans="1:18" x14ac:dyDescent="0.2">
      <c r="A54" s="23" t="s">
        <v>163</v>
      </c>
      <c r="B54" s="9" t="str">
        <f>'[1]Custo por equipamento'!C31</f>
        <v>Pregos e ligações metálicas necessárias</v>
      </c>
      <c r="C54" s="131"/>
      <c r="D54" s="81"/>
      <c r="E54" s="116"/>
      <c r="F54" s="116"/>
      <c r="G54" s="111" t="e">
        <f>247/K81</f>
        <v>#DIV/0!</v>
      </c>
      <c r="H54" s="111" t="e">
        <f>1416/K81</f>
        <v>#DIV/0!</v>
      </c>
      <c r="I54" s="116"/>
      <c r="J54" s="81"/>
      <c r="K54" s="114">
        <f>'Custo por equipamento'!I73</f>
        <v>0</v>
      </c>
      <c r="L54" s="115" t="e">
        <f t="shared" si="6"/>
        <v>#DIV/0!</v>
      </c>
      <c r="M54" s="3"/>
      <c r="O54" s="4"/>
      <c r="R54" s="3"/>
    </row>
    <row r="55" spans="1:18" x14ac:dyDescent="0.2">
      <c r="A55" s="139" t="s">
        <v>164</v>
      </c>
      <c r="B55" s="140" t="str">
        <f>'[1]Custo por equipamento'!C34</f>
        <v>Pintura e acabamentos</v>
      </c>
      <c r="C55" s="98"/>
      <c r="D55" s="99"/>
      <c r="E55" s="119"/>
      <c r="F55" s="119"/>
      <c r="G55" s="119"/>
      <c r="H55" s="119"/>
      <c r="I55" s="120" t="e">
        <f>1474.2/K81</f>
        <v>#DIV/0!</v>
      </c>
      <c r="J55" s="99"/>
      <c r="K55" s="114">
        <f>'Custo por equipamento'!I76</f>
        <v>0</v>
      </c>
      <c r="L55" s="115" t="e">
        <f t="shared" si="6"/>
        <v>#DIV/0!</v>
      </c>
      <c r="M55" s="3"/>
      <c r="O55" s="4"/>
      <c r="R55" s="3"/>
    </row>
    <row r="56" spans="1:18" ht="15" customHeight="1" x14ac:dyDescent="0.2">
      <c r="A56" s="154" t="str">
        <f>'[1]Equipamento por unidade'!H1</f>
        <v>PESM CURUCUTU</v>
      </c>
      <c r="B56" s="155" t="e">
        <f>'[1]Custo por equipamento'!#REF!</f>
        <v>#REF!</v>
      </c>
      <c r="C56" s="86"/>
      <c r="D56" s="87"/>
      <c r="E56" s="87"/>
      <c r="F56" s="87"/>
      <c r="G56" s="87"/>
      <c r="H56" s="87"/>
      <c r="I56" s="87"/>
      <c r="J56" s="87"/>
      <c r="K56" s="87"/>
      <c r="L56" s="121"/>
    </row>
    <row r="57" spans="1:18" x14ac:dyDescent="0.2">
      <c r="A57" s="21">
        <v>7</v>
      </c>
      <c r="B57" s="45" t="str">
        <f>'[1]Equipamento por unidade'!A4</f>
        <v>PLATAFORMA ELEVADA</v>
      </c>
      <c r="C57" s="122"/>
      <c r="D57" s="123"/>
      <c r="E57" s="123"/>
      <c r="F57" s="123"/>
      <c r="G57" s="123"/>
      <c r="H57" s="123"/>
      <c r="I57" s="123"/>
      <c r="J57" s="124"/>
      <c r="K57" s="125">
        <f>SUM(K58:K64)</f>
        <v>0</v>
      </c>
      <c r="L57" s="110" t="e">
        <f>K57/K81</f>
        <v>#DIV/0!</v>
      </c>
      <c r="M57" s="3"/>
      <c r="N57" s="4">
        <f>SUM(M119:M119)</f>
        <v>0</v>
      </c>
      <c r="O57" s="6"/>
    </row>
    <row r="58" spans="1:18" x14ac:dyDescent="0.2">
      <c r="A58" s="23" t="s">
        <v>141</v>
      </c>
      <c r="B58" s="9" t="str">
        <f>'[1]Custo por equipamento'!C83</f>
        <v>Início de Obra</v>
      </c>
      <c r="C58" s="131"/>
      <c r="D58" s="81"/>
      <c r="E58" s="113" t="e">
        <f>7285.97/K81</f>
        <v>#DIV/0!</v>
      </c>
      <c r="F58" s="112"/>
      <c r="G58" s="112"/>
      <c r="H58" s="112"/>
      <c r="I58" s="113" t="e">
        <f>1873/K81</f>
        <v>#DIV/0!</v>
      </c>
      <c r="J58" s="81"/>
      <c r="K58" s="114">
        <f>'Custo por equipamento'!I83</f>
        <v>0</v>
      </c>
      <c r="L58" s="115" t="e">
        <f t="shared" ref="L58:L64" si="7">SUM(C58:J58)</f>
        <v>#DIV/0!</v>
      </c>
      <c r="M58" s="3"/>
      <c r="O58" s="4"/>
      <c r="R58" s="3"/>
    </row>
    <row r="59" spans="1:18" x14ac:dyDescent="0.2">
      <c r="A59" s="23" t="s">
        <v>142</v>
      </c>
      <c r="B59" s="9" t="str">
        <f>'[1]Custo por equipamento'!C92</f>
        <v>Fundação e embasamento</v>
      </c>
      <c r="C59" s="131"/>
      <c r="D59" s="81"/>
      <c r="E59" s="113" t="e">
        <f>4385.03/K81</f>
        <v>#DIV/0!</v>
      </c>
      <c r="F59" s="113" t="e">
        <f>17581.87/K81</f>
        <v>#DIV/0!</v>
      </c>
      <c r="G59" s="116"/>
      <c r="H59" s="116"/>
      <c r="I59" s="116"/>
      <c r="J59" s="81"/>
      <c r="K59" s="114">
        <f>'Custo por equipamento'!I92</f>
        <v>0</v>
      </c>
      <c r="L59" s="115" t="e">
        <f t="shared" si="7"/>
        <v>#DIV/0!</v>
      </c>
      <c r="M59" s="3"/>
      <c r="O59" s="4"/>
      <c r="R59" s="3"/>
    </row>
    <row r="60" spans="1:18" x14ac:dyDescent="0.2">
      <c r="A60" s="23" t="s">
        <v>143</v>
      </c>
      <c r="B60" s="9" t="str">
        <f>'[1]Custo por equipamento'!C103</f>
        <v>Estrutura de madeira e escada</v>
      </c>
      <c r="C60" s="131"/>
      <c r="D60" s="81"/>
      <c r="E60" s="136"/>
      <c r="F60" s="113" t="e">
        <f>4074/K81</f>
        <v>#DIV/0!</v>
      </c>
      <c r="G60" s="113" t="e">
        <f>8177/K81</f>
        <v>#DIV/0!</v>
      </c>
      <c r="H60" s="113" t="e">
        <f>8178.79/K81</f>
        <v>#DIV/0!</v>
      </c>
      <c r="I60" s="116"/>
      <c r="J60" s="81"/>
      <c r="K60" s="114">
        <f>'Custo por equipamento'!I103</f>
        <v>0</v>
      </c>
      <c r="L60" s="115" t="e">
        <f t="shared" si="7"/>
        <v>#DIV/0!</v>
      </c>
      <c r="M60" s="3"/>
      <c r="O60" s="4"/>
      <c r="R60" s="3"/>
    </row>
    <row r="61" spans="1:18" x14ac:dyDescent="0.2">
      <c r="A61" s="23" t="s">
        <v>144</v>
      </c>
      <c r="B61" s="9" t="str">
        <f>'[1]Custo por equipamento'!C109</f>
        <v xml:space="preserve">Piso em madeira </v>
      </c>
      <c r="C61" s="131"/>
      <c r="D61" s="81"/>
      <c r="E61" s="116"/>
      <c r="F61" s="116"/>
      <c r="G61" s="116"/>
      <c r="H61" s="113" t="e">
        <f>5217.64/K81</f>
        <v>#DIV/0!</v>
      </c>
      <c r="I61" s="116"/>
      <c r="J61" s="81"/>
      <c r="K61" s="114">
        <f>'Custo por equipamento'!I109</f>
        <v>0</v>
      </c>
      <c r="L61" s="115" t="e">
        <f t="shared" si="7"/>
        <v>#DIV/0!</v>
      </c>
      <c r="M61" s="3"/>
      <c r="O61" s="4"/>
      <c r="R61" s="3"/>
    </row>
    <row r="62" spans="1:18" x14ac:dyDescent="0.2">
      <c r="A62" s="23" t="s">
        <v>145</v>
      </c>
      <c r="B62" s="9" t="str">
        <f>'[1]Custo por equipamento'!C119</f>
        <v>Guarda corpo</v>
      </c>
      <c r="C62" s="131"/>
      <c r="D62" s="81"/>
      <c r="E62" s="116"/>
      <c r="F62" s="116"/>
      <c r="G62" s="113" t="e">
        <f>4264.97/K81</f>
        <v>#DIV/0!</v>
      </c>
      <c r="H62" s="113" t="e">
        <f>4264.97/K81</f>
        <v>#DIV/0!</v>
      </c>
      <c r="I62" s="116"/>
      <c r="J62" s="81"/>
      <c r="K62" s="114">
        <f>'Custo por equipamento'!I119</f>
        <v>0</v>
      </c>
      <c r="L62" s="115" t="e">
        <f t="shared" si="7"/>
        <v>#DIV/0!</v>
      </c>
      <c r="M62" s="3"/>
      <c r="O62" s="4"/>
      <c r="R62" s="3"/>
    </row>
    <row r="63" spans="1:18" x14ac:dyDescent="0.2">
      <c r="A63" s="23" t="s">
        <v>156</v>
      </c>
      <c r="B63" s="9" t="str">
        <f>'[1]Custo por equipamento'!C126</f>
        <v>Pregos e ligações metálicas necessárias</v>
      </c>
      <c r="C63" s="131"/>
      <c r="D63" s="81"/>
      <c r="E63" s="136"/>
      <c r="F63" s="113" t="e">
        <f>2069/K81</f>
        <v>#DIV/0!</v>
      </c>
      <c r="G63" s="113" t="e">
        <f>2069/K81</f>
        <v>#DIV/0!</v>
      </c>
      <c r="H63" s="113" t="e">
        <f>2071/K81</f>
        <v>#DIV/0!</v>
      </c>
      <c r="I63" s="117"/>
      <c r="J63" s="81"/>
      <c r="K63" s="114">
        <f>'Custo por equipamento'!I126</f>
        <v>0</v>
      </c>
      <c r="L63" s="115" t="e">
        <f t="shared" si="7"/>
        <v>#DIV/0!</v>
      </c>
      <c r="M63" s="3"/>
      <c r="O63" s="4"/>
      <c r="R63" s="3"/>
    </row>
    <row r="64" spans="1:18" x14ac:dyDescent="0.2">
      <c r="A64" s="23" t="s">
        <v>157</v>
      </c>
      <c r="B64" s="9" t="str">
        <f>'[1]Custo por equipamento'!C129</f>
        <v>Pintura e acabamentos</v>
      </c>
      <c r="C64" s="98"/>
      <c r="D64" s="99"/>
      <c r="E64" s="138"/>
      <c r="F64" s="119"/>
      <c r="G64" s="119"/>
      <c r="H64" s="119"/>
      <c r="I64" s="120" t="e">
        <f>5265/K81</f>
        <v>#DIV/0!</v>
      </c>
      <c r="J64" s="99"/>
      <c r="K64" s="114">
        <f>'Custo por equipamento'!I129</f>
        <v>0</v>
      </c>
      <c r="L64" s="115" t="e">
        <f t="shared" si="7"/>
        <v>#DIV/0!</v>
      </c>
      <c r="M64" s="3"/>
      <c r="O64" s="4"/>
      <c r="R64" s="3"/>
    </row>
    <row r="65" spans="1:18" ht="15" customHeight="1" x14ac:dyDescent="0.2">
      <c r="A65" s="154" t="str">
        <f>'[1]Equipamento por unidade'!I1</f>
        <v>PESM PICINGUABA</v>
      </c>
      <c r="B65" s="155"/>
      <c r="C65" s="86"/>
      <c r="D65" s="87"/>
      <c r="E65" s="87"/>
      <c r="F65" s="87"/>
      <c r="G65" s="87"/>
      <c r="H65" s="87"/>
      <c r="I65" s="87"/>
      <c r="J65" s="87"/>
      <c r="K65" s="87"/>
      <c r="L65" s="121"/>
    </row>
    <row r="66" spans="1:18" x14ac:dyDescent="0.2">
      <c r="A66" s="21">
        <v>8</v>
      </c>
      <c r="B66" s="45" t="str">
        <f>'[1]Equipamento por unidade'!A2</f>
        <v>HIDE/BLIND ELEVAÇÃO MADEIRA</v>
      </c>
      <c r="C66" s="122"/>
      <c r="D66" s="123"/>
      <c r="E66" s="123"/>
      <c r="F66" s="123"/>
      <c r="G66" s="123"/>
      <c r="H66" s="123"/>
      <c r="I66" s="123"/>
      <c r="J66" s="124"/>
      <c r="K66" s="125">
        <f>SUM(K67:K71)</f>
        <v>0</v>
      </c>
      <c r="L66" s="110" t="e">
        <f>K66/K81</f>
        <v>#DIV/0!</v>
      </c>
      <c r="M66" s="3"/>
      <c r="N66" s="4">
        <f>SUM(M127:M127)</f>
        <v>0</v>
      </c>
      <c r="O66" s="6"/>
    </row>
    <row r="67" spans="1:18" x14ac:dyDescent="0.2">
      <c r="A67" s="23" t="s">
        <v>146</v>
      </c>
      <c r="B67" s="9" t="str">
        <f>'[1]Custo por equipamento'!C3</f>
        <v>Início de Obra</v>
      </c>
      <c r="C67" s="131"/>
      <c r="D67" s="111" t="e">
        <f>3985.05/K81</f>
        <v>#DIV/0!</v>
      </c>
      <c r="E67" s="116"/>
      <c r="F67" s="116"/>
      <c r="G67" s="116"/>
      <c r="H67" s="111" t="e">
        <f>1099/K81</f>
        <v>#DIV/0!</v>
      </c>
      <c r="I67" s="81"/>
      <c r="J67" s="81"/>
      <c r="K67" s="114">
        <f>'Custo por equipamento'!I3</f>
        <v>0</v>
      </c>
      <c r="L67" s="115" t="e">
        <f t="shared" ref="L67:L71" si="8">SUM(C67:J67)</f>
        <v>#DIV/0!</v>
      </c>
      <c r="M67" s="3"/>
      <c r="O67" s="4"/>
      <c r="R67" s="3"/>
    </row>
    <row r="68" spans="1:18" x14ac:dyDescent="0.2">
      <c r="A68" s="23" t="s">
        <v>147</v>
      </c>
      <c r="B68" s="9" t="str">
        <f>'[1]Custo por equipamento'!C11</f>
        <v>Embasamento</v>
      </c>
      <c r="C68" s="131"/>
      <c r="D68" s="111" t="e">
        <f>224/K81</f>
        <v>#DIV/0!</v>
      </c>
      <c r="E68" s="111" t="e">
        <f>8556/K81</f>
        <v>#DIV/0!</v>
      </c>
      <c r="F68" s="111" t="e">
        <f>3316.56/K81</f>
        <v>#DIV/0!</v>
      </c>
      <c r="G68" s="116"/>
      <c r="H68" s="116"/>
      <c r="I68" s="81"/>
      <c r="J68" s="81"/>
      <c r="K68" s="114">
        <f>'Custo por equipamento'!I11</f>
        <v>0</v>
      </c>
      <c r="L68" s="115" t="e">
        <f t="shared" si="8"/>
        <v>#DIV/0!</v>
      </c>
      <c r="M68" s="3"/>
      <c r="O68" s="4"/>
      <c r="R68" s="3"/>
    </row>
    <row r="69" spans="1:18" x14ac:dyDescent="0.2">
      <c r="A69" s="23" t="s">
        <v>148</v>
      </c>
      <c r="B69" s="9" t="str">
        <f>'[1]Custo por equipamento'!C21</f>
        <v>Madeiras</v>
      </c>
      <c r="C69" s="131"/>
      <c r="D69" s="116"/>
      <c r="E69" s="116"/>
      <c r="F69" s="111" t="e">
        <f>1667/K81</f>
        <v>#DIV/0!</v>
      </c>
      <c r="G69" s="111" t="e">
        <f>5702.23/K81</f>
        <v>#DIV/0!</v>
      </c>
      <c r="H69" s="116"/>
      <c r="I69" s="81"/>
      <c r="J69" s="81"/>
      <c r="K69" s="114">
        <f>'Custo por equipamento'!I21</f>
        <v>0</v>
      </c>
      <c r="L69" s="115" t="e">
        <f t="shared" si="8"/>
        <v>#DIV/0!</v>
      </c>
      <c r="M69" s="3"/>
      <c r="O69" s="4"/>
      <c r="R69" s="3"/>
    </row>
    <row r="70" spans="1:18" x14ac:dyDescent="0.2">
      <c r="A70" s="23" t="s">
        <v>149</v>
      </c>
      <c r="B70" s="9" t="str">
        <f>'[1]Custo por equipamento'!C31</f>
        <v>Pregos e ligações metálicas necessárias</v>
      </c>
      <c r="C70" s="131"/>
      <c r="D70" s="116"/>
      <c r="E70" s="116"/>
      <c r="F70" s="111" t="e">
        <f>250/K81</f>
        <v>#DIV/0!</v>
      </c>
      <c r="G70" s="111" t="e">
        <f>1413/K81</f>
        <v>#DIV/0!</v>
      </c>
      <c r="H70" s="116"/>
      <c r="I70" s="81"/>
      <c r="J70" s="81"/>
      <c r="K70" s="114">
        <f>'Custo por equipamento'!I31</f>
        <v>0</v>
      </c>
      <c r="L70" s="115" t="e">
        <f t="shared" si="8"/>
        <v>#DIV/0!</v>
      </c>
      <c r="M70" s="3"/>
      <c r="O70" s="4"/>
      <c r="R70" s="3"/>
    </row>
    <row r="71" spans="1:18" x14ac:dyDescent="0.2">
      <c r="A71" s="23" t="s">
        <v>150</v>
      </c>
      <c r="B71" s="9" t="str">
        <f>'[1]Custo por equipamento'!C34</f>
        <v>Pintura e acabamentos</v>
      </c>
      <c r="C71" s="98"/>
      <c r="D71" s="119"/>
      <c r="E71" s="119"/>
      <c r="F71" s="119"/>
      <c r="G71" s="119"/>
      <c r="H71" s="120" t="e">
        <f>1474.2/K81</f>
        <v>#DIV/0!</v>
      </c>
      <c r="I71" s="99"/>
      <c r="J71" s="99"/>
      <c r="K71" s="114">
        <f>'Custo por equipamento'!I34</f>
        <v>0</v>
      </c>
      <c r="L71" s="115" t="e">
        <f t="shared" si="8"/>
        <v>#DIV/0!</v>
      </c>
      <c r="M71" s="3"/>
      <c r="O71" s="4"/>
      <c r="R71" s="3"/>
    </row>
    <row r="72" spans="1:18" x14ac:dyDescent="0.2">
      <c r="A72" s="21">
        <v>9</v>
      </c>
      <c r="B72" s="45" t="str">
        <f>'[1]Equipamento por unidade'!A4</f>
        <v>PLATAFORMA ELEVADA</v>
      </c>
      <c r="C72" s="141"/>
      <c r="D72" s="142"/>
      <c r="E72" s="142"/>
      <c r="F72" s="142"/>
      <c r="G72" s="142"/>
      <c r="H72" s="142"/>
      <c r="I72" s="142"/>
      <c r="J72" s="143"/>
      <c r="K72" s="144">
        <f>SUM(K73:K79)</f>
        <v>0</v>
      </c>
      <c r="L72" s="145" t="e">
        <f>K72/K81</f>
        <v>#DIV/0!</v>
      </c>
      <c r="M72" s="3"/>
      <c r="N72" s="4">
        <f>SUM(M135:M135)</f>
        <v>0</v>
      </c>
      <c r="O72" s="6"/>
    </row>
    <row r="73" spans="1:18" x14ac:dyDescent="0.2">
      <c r="A73" s="23" t="s">
        <v>151</v>
      </c>
      <c r="B73" s="9" t="str">
        <f>'[1]Custo por equipamento'!C83</f>
        <v>Início de Obra</v>
      </c>
      <c r="C73" s="81"/>
      <c r="D73" s="113" t="e">
        <f>7285.97/K81</f>
        <v>#DIV/0!</v>
      </c>
      <c r="E73" s="112"/>
      <c r="F73" s="112"/>
      <c r="G73" s="112"/>
      <c r="H73" s="113" t="e">
        <f>1873/K81</f>
        <v>#DIV/0!</v>
      </c>
      <c r="I73" s="81"/>
      <c r="J73" s="81"/>
      <c r="K73" s="114">
        <f>'Custo por equipamento'!I83</f>
        <v>0</v>
      </c>
      <c r="L73" s="115" t="e">
        <f t="shared" ref="L73:L79" si="9">SUM(C73:J73)</f>
        <v>#DIV/0!</v>
      </c>
      <c r="M73" s="3"/>
      <c r="O73" s="4"/>
      <c r="R73" s="3"/>
    </row>
    <row r="74" spans="1:18" x14ac:dyDescent="0.2">
      <c r="A74" s="23" t="s">
        <v>152</v>
      </c>
      <c r="B74" s="9" t="str">
        <f>'[1]Custo por equipamento'!C92</f>
        <v>Fundação e embasamento</v>
      </c>
      <c r="C74" s="81"/>
      <c r="D74" s="113" t="e">
        <f>4385.03/K81</f>
        <v>#DIV/0!</v>
      </c>
      <c r="E74" s="113" t="e">
        <f>17581.87/K81</f>
        <v>#DIV/0!</v>
      </c>
      <c r="F74" s="116"/>
      <c r="G74" s="116"/>
      <c r="H74" s="116"/>
      <c r="I74" s="81"/>
      <c r="J74" s="81"/>
      <c r="K74" s="114">
        <f>'Custo por equipamento'!I92</f>
        <v>0</v>
      </c>
      <c r="L74" s="115" t="e">
        <f t="shared" si="9"/>
        <v>#DIV/0!</v>
      </c>
      <c r="M74" s="3"/>
      <c r="O74" s="4"/>
      <c r="R74" s="3"/>
    </row>
    <row r="75" spans="1:18" x14ac:dyDescent="0.2">
      <c r="A75" s="23" t="s">
        <v>153</v>
      </c>
      <c r="B75" s="9" t="str">
        <f>'[1]Custo por equipamento'!C103</f>
        <v>Estrutura de madeira e escada</v>
      </c>
      <c r="C75" s="81"/>
      <c r="D75" s="136"/>
      <c r="E75" s="113" t="e">
        <f>4074/K81</f>
        <v>#DIV/0!</v>
      </c>
      <c r="F75" s="113" t="e">
        <f>8177/K81</f>
        <v>#DIV/0!</v>
      </c>
      <c r="G75" s="113" t="e">
        <f>8178.79/K81</f>
        <v>#DIV/0!</v>
      </c>
      <c r="H75" s="116"/>
      <c r="I75" s="81"/>
      <c r="J75" s="81"/>
      <c r="K75" s="114">
        <f>'Custo por equipamento'!I103</f>
        <v>0</v>
      </c>
      <c r="L75" s="115" t="e">
        <f t="shared" si="9"/>
        <v>#DIV/0!</v>
      </c>
      <c r="M75" s="3"/>
      <c r="O75" s="4"/>
      <c r="R75" s="3"/>
    </row>
    <row r="76" spans="1:18" x14ac:dyDescent="0.2">
      <c r="A76" s="23" t="s">
        <v>154</v>
      </c>
      <c r="B76" s="9" t="str">
        <f>'[1]Custo por equipamento'!C109</f>
        <v xml:space="preserve">Piso em madeira </v>
      </c>
      <c r="C76" s="81"/>
      <c r="D76" s="136"/>
      <c r="E76" s="116"/>
      <c r="F76" s="116"/>
      <c r="G76" s="113" t="e">
        <f>5217.64/K81</f>
        <v>#DIV/0!</v>
      </c>
      <c r="H76" s="116"/>
      <c r="I76" s="81"/>
      <c r="J76" s="81"/>
      <c r="K76" s="114">
        <f>'Custo por equipamento'!I109</f>
        <v>0</v>
      </c>
      <c r="L76" s="115" t="e">
        <f t="shared" si="9"/>
        <v>#DIV/0!</v>
      </c>
      <c r="M76" s="3"/>
      <c r="O76" s="4"/>
      <c r="R76" s="3"/>
    </row>
    <row r="77" spans="1:18" x14ac:dyDescent="0.2">
      <c r="A77" s="23" t="s">
        <v>155</v>
      </c>
      <c r="B77" s="9" t="str">
        <f>'[1]Custo por equipamento'!C119</f>
        <v>Guarda corpo</v>
      </c>
      <c r="C77" s="81"/>
      <c r="D77" s="136"/>
      <c r="E77" s="116"/>
      <c r="F77" s="113" t="e">
        <f>4264.97/K81</f>
        <v>#DIV/0!</v>
      </c>
      <c r="G77" s="113" t="e">
        <f>4264.97/K81</f>
        <v>#DIV/0!</v>
      </c>
      <c r="H77" s="116"/>
      <c r="I77" s="81"/>
      <c r="J77" s="81"/>
      <c r="K77" s="114">
        <f>'Custo por equipamento'!I119</f>
        <v>0</v>
      </c>
      <c r="L77" s="115" t="e">
        <f t="shared" si="9"/>
        <v>#DIV/0!</v>
      </c>
      <c r="M77" s="3"/>
      <c r="O77" s="4"/>
      <c r="R77" s="3"/>
    </row>
    <row r="78" spans="1:18" x14ac:dyDescent="0.2">
      <c r="A78" s="23" t="s">
        <v>170</v>
      </c>
      <c r="B78" s="9" t="str">
        <f>'[1]Custo por equipamento'!C126</f>
        <v>Pregos e ligações metálicas necessárias</v>
      </c>
      <c r="C78" s="81"/>
      <c r="D78" s="136"/>
      <c r="E78" s="113" t="e">
        <f>2069/K81</f>
        <v>#DIV/0!</v>
      </c>
      <c r="F78" s="113" t="e">
        <f>2069/K81</f>
        <v>#DIV/0!</v>
      </c>
      <c r="G78" s="113" t="e">
        <f>2071/K81</f>
        <v>#DIV/0!</v>
      </c>
      <c r="H78" s="117"/>
      <c r="I78" s="81"/>
      <c r="J78" s="81"/>
      <c r="K78" s="114">
        <f>'Custo por equipamento'!I126</f>
        <v>0</v>
      </c>
      <c r="L78" s="115" t="e">
        <f t="shared" si="9"/>
        <v>#DIV/0!</v>
      </c>
      <c r="M78" s="3"/>
      <c r="O78" s="4"/>
      <c r="R78" s="3"/>
    </row>
    <row r="79" spans="1:18" x14ac:dyDescent="0.2">
      <c r="A79" s="23" t="s">
        <v>171</v>
      </c>
      <c r="B79" s="9" t="str">
        <f>'[1]Custo por equipamento'!C129</f>
        <v>Pintura e acabamentos</v>
      </c>
      <c r="C79" s="81"/>
      <c r="D79" s="136"/>
      <c r="E79" s="119"/>
      <c r="F79" s="119"/>
      <c r="G79" s="119"/>
      <c r="H79" s="120" t="e">
        <f>5265/K81</f>
        <v>#DIV/0!</v>
      </c>
      <c r="I79" s="81"/>
      <c r="J79" s="81"/>
      <c r="K79" s="114">
        <f>'Custo por equipamento'!I129</f>
        <v>0</v>
      </c>
      <c r="L79" s="115" t="e">
        <f t="shared" si="9"/>
        <v>#DIV/0!</v>
      </c>
      <c r="M79" s="3"/>
      <c r="O79" s="4"/>
      <c r="R79" s="3"/>
    </row>
    <row r="80" spans="1:18" x14ac:dyDescent="0.2">
      <c r="A80" s="13"/>
      <c r="B80" s="13"/>
      <c r="C80" s="14"/>
      <c r="D80" s="14"/>
      <c r="E80" s="14"/>
      <c r="F80" s="14"/>
      <c r="G80" s="14"/>
      <c r="H80" s="14"/>
      <c r="I80" s="14"/>
      <c r="J80" s="14"/>
      <c r="K80" s="114"/>
      <c r="L80" s="146"/>
      <c r="M80" s="3"/>
      <c r="O80" s="4"/>
    </row>
    <row r="81" spans="1:18" x14ac:dyDescent="0.2">
      <c r="A81" s="158" t="s">
        <v>13</v>
      </c>
      <c r="B81" s="158"/>
      <c r="C81" s="147" t="e">
        <f>SUM(C4:C79)</f>
        <v>#DIV/0!</v>
      </c>
      <c r="D81" s="147" t="e">
        <f>SUM(D5:D79)</f>
        <v>#DIV/0!</v>
      </c>
      <c r="E81" s="147" t="e">
        <f>SUM(E5:E79)</f>
        <v>#DIV/0!</v>
      </c>
      <c r="F81" s="147" t="e">
        <f>SUM(F5:F79)</f>
        <v>#DIV/0!</v>
      </c>
      <c r="G81" s="147" t="e">
        <f>SUM(G4:G79)</f>
        <v>#DIV/0!</v>
      </c>
      <c r="H81" s="147" t="e">
        <f t="shared" ref="H81:J81" si="10">SUM(H4:H79)</f>
        <v>#DIV/0!</v>
      </c>
      <c r="I81" s="147" t="e">
        <f t="shared" si="10"/>
        <v>#DIV/0!</v>
      </c>
      <c r="J81" s="147" t="e">
        <f t="shared" si="10"/>
        <v>#DIV/0!</v>
      </c>
      <c r="K81" s="85">
        <f>SUM(K72,K66,K57,K49,K40,K31,K22,K13,K4,)</f>
        <v>0</v>
      </c>
      <c r="L81" s="147" t="e">
        <f>SUM(L72,L66,L57,L49,L40,L31,L22,L13,L4)</f>
        <v>#DIV/0!</v>
      </c>
      <c r="M81" s="3" t="e">
        <f>SUM(C81:J81)</f>
        <v>#DIV/0!</v>
      </c>
      <c r="N81" s="4" t="e">
        <f>#REF!+#REF!+#REF!</f>
        <v>#REF!</v>
      </c>
      <c r="O81" s="6"/>
      <c r="R81" s="3"/>
    </row>
    <row r="82" spans="1:18" hidden="1" x14ac:dyDescent="0.2">
      <c r="A82" s="152" t="s">
        <v>27</v>
      </c>
      <c r="B82" s="153"/>
      <c r="C82" s="42" t="e">
        <f>C81*0.1</f>
        <v>#DIV/0!</v>
      </c>
      <c r="D82" s="42" t="e">
        <f>D81*0.1</f>
        <v>#DIV/0!</v>
      </c>
      <c r="E82" s="42" t="e">
        <f>E81*0.1</f>
        <v>#DIV/0!</v>
      </c>
      <c r="F82" s="42" t="e">
        <f>F81*0.1</f>
        <v>#DIV/0!</v>
      </c>
      <c r="G82" s="82" t="e">
        <f t="shared" ref="G82:J82" si="11">G81*0.1</f>
        <v>#DIV/0!</v>
      </c>
      <c r="H82" s="82" t="e">
        <f t="shared" si="11"/>
        <v>#DIV/0!</v>
      </c>
      <c r="I82" s="82" t="e">
        <f t="shared" si="11"/>
        <v>#DIV/0!</v>
      </c>
      <c r="J82" s="82" t="e">
        <f t="shared" si="11"/>
        <v>#DIV/0!</v>
      </c>
      <c r="K82" s="148">
        <f>(K81)*0.1</f>
        <v>0</v>
      </c>
      <c r="M82" s="3" t="e">
        <f t="shared" ref="M82:M84" si="12">SUM(C82:J82)</f>
        <v>#DIV/0!</v>
      </c>
      <c r="N82" s="4"/>
      <c r="O82" s="6"/>
      <c r="R82" s="3"/>
    </row>
    <row r="83" spans="1:18" hidden="1" x14ac:dyDescent="0.2">
      <c r="A83" s="150" t="s">
        <v>22</v>
      </c>
      <c r="B83" s="151"/>
      <c r="C83" s="10" t="e">
        <f>(C81+C82)*0.3</f>
        <v>#DIV/0!</v>
      </c>
      <c r="D83" s="10" t="e">
        <f>(D82+D81)*0.3</f>
        <v>#DIV/0!</v>
      </c>
      <c r="E83" s="10" t="e">
        <f>(E82+E81)*0.3</f>
        <v>#DIV/0!</v>
      </c>
      <c r="F83" s="10" t="e">
        <f>(F82+F81)*0.3</f>
        <v>#DIV/0!</v>
      </c>
      <c r="G83" s="83" t="e">
        <f t="shared" ref="G83:J83" si="13">(G81+G82)*0.3</f>
        <v>#DIV/0!</v>
      </c>
      <c r="H83" s="83" t="e">
        <f t="shared" si="13"/>
        <v>#DIV/0!</v>
      </c>
      <c r="I83" s="83" t="e">
        <f t="shared" si="13"/>
        <v>#DIV/0!</v>
      </c>
      <c r="J83" s="83" t="e">
        <f t="shared" si="13"/>
        <v>#DIV/0!</v>
      </c>
      <c r="K83" s="85">
        <f>(K81+K82)*0.3</f>
        <v>0</v>
      </c>
      <c r="M83" s="3" t="e">
        <f t="shared" si="12"/>
        <v>#DIV/0!</v>
      </c>
      <c r="N83" s="4"/>
      <c r="O83" s="6"/>
      <c r="R83" s="3"/>
    </row>
    <row r="84" spans="1:18" hidden="1" x14ac:dyDescent="0.2">
      <c r="A84" s="156" t="s">
        <v>26</v>
      </c>
      <c r="B84" s="157"/>
      <c r="C84" s="11" t="e">
        <f>SUM(C81:C83)</f>
        <v>#DIV/0!</v>
      </c>
      <c r="D84" s="11" t="e">
        <f>SUM(D81:D83)</f>
        <v>#DIV/0!</v>
      </c>
      <c r="E84" s="11" t="e">
        <f>SUM(E81:E83)</f>
        <v>#DIV/0!</v>
      </c>
      <c r="F84" s="11" t="e">
        <f>SUM(F81:F83)</f>
        <v>#DIV/0!</v>
      </c>
      <c r="G84" s="84" t="e">
        <f t="shared" ref="G84:J84" si="14">SUM(G81:G83)</f>
        <v>#DIV/0!</v>
      </c>
      <c r="H84" s="84" t="e">
        <f t="shared" si="14"/>
        <v>#DIV/0!</v>
      </c>
      <c r="I84" s="84" t="e">
        <f t="shared" si="14"/>
        <v>#DIV/0!</v>
      </c>
      <c r="J84" s="84" t="e">
        <f t="shared" si="14"/>
        <v>#DIV/0!</v>
      </c>
      <c r="K84" s="85">
        <f>SUM(K81:K83)</f>
        <v>0</v>
      </c>
      <c r="M84" s="3" t="e">
        <f t="shared" si="12"/>
        <v>#DIV/0!</v>
      </c>
      <c r="N84" s="5"/>
      <c r="O84" s="6"/>
      <c r="Q84" s="6"/>
      <c r="R84" s="3"/>
    </row>
    <row r="85" spans="1:18" x14ac:dyDescent="0.2">
      <c r="M85" s="3"/>
    </row>
    <row r="87" spans="1:18" x14ac:dyDescent="0.2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</row>
  </sheetData>
  <mergeCells count="16">
    <mergeCell ref="A87:K87"/>
    <mergeCell ref="C1:J1"/>
    <mergeCell ref="A1:A2"/>
    <mergeCell ref="B1:B2"/>
    <mergeCell ref="A65:B65"/>
    <mergeCell ref="A21:B21"/>
    <mergeCell ref="A39:B39"/>
    <mergeCell ref="A48:B48"/>
    <mergeCell ref="A56:B56"/>
    <mergeCell ref="A30:B30"/>
    <mergeCell ref="A83:B83"/>
    <mergeCell ref="A82:B82"/>
    <mergeCell ref="A3:B3"/>
    <mergeCell ref="A12:B12"/>
    <mergeCell ref="A84:B84"/>
    <mergeCell ref="A81:B81"/>
  </mergeCells>
  <printOptions horizontalCentered="1"/>
  <pageMargins left="0.19685039370078741" right="0.19685039370078741" top="1.3779527559055118" bottom="0.98425196850393704" header="0.39370078740157483" footer="0.19685039370078741"/>
  <pageSetup paperSize="9" scale="58" fitToHeight="0" orientation="landscape" r:id="rId1"/>
  <headerFooter>
    <oddHeader>&amp;L&amp;G&amp;C&amp;"Ecofont Vera Sans,Regular"&amp;14AVISTAMENTO DE AVES
UCS DIVERSAS
EQUIPAMENTOS &amp;R&amp;"Ecofont Vera Sans,Regular"&amp;11
Boletim CPOS 173 - JUL/2018</oddHeader>
    <oddFooter>&amp;C&amp;"Ecofont Vera Sans,Regular"
Av. Professor Frederico Herman Junior, 345 - Pinheiros - 05.459-010 São Paulo
(11) 2997-5000 - www.fflorestal.sp.gov.br&amp;R&amp;"Ecofont Vera Sans,Negrito"Página 0&amp;P de 0&amp;N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BreakPreview" zoomScaleNormal="100" zoomScaleSheetLayoutView="100" workbookViewId="0">
      <selection activeCell="B14" sqref="B14"/>
    </sheetView>
  </sheetViews>
  <sheetFormatPr defaultRowHeight="12.75" x14ac:dyDescent="0.2"/>
  <cols>
    <col min="1" max="1" width="34" customWidth="1"/>
    <col min="2" max="9" width="17.7109375" customWidth="1"/>
    <col min="10" max="11" width="15.7109375" customWidth="1"/>
  </cols>
  <sheetData>
    <row r="1" spans="1:10" ht="25.5" x14ac:dyDescent="0.2">
      <c r="A1" s="74" t="s">
        <v>107</v>
      </c>
      <c r="B1" s="75" t="s">
        <v>109</v>
      </c>
      <c r="C1" s="74" t="s">
        <v>110</v>
      </c>
      <c r="D1" s="75" t="s">
        <v>115</v>
      </c>
      <c r="E1" s="75" t="s">
        <v>134</v>
      </c>
      <c r="F1" s="75" t="s">
        <v>111</v>
      </c>
      <c r="G1" s="75" t="s">
        <v>112</v>
      </c>
      <c r="H1" s="75" t="s">
        <v>113</v>
      </c>
      <c r="I1" s="75" t="s">
        <v>114</v>
      </c>
      <c r="J1" s="75" t="s">
        <v>116</v>
      </c>
    </row>
    <row r="2" spans="1:10" ht="15" customHeight="1" x14ac:dyDescent="0.2">
      <c r="A2" s="72" t="s">
        <v>89</v>
      </c>
      <c r="G2" s="73"/>
      <c r="I2" s="73">
        <f>B12</f>
        <v>0</v>
      </c>
      <c r="J2" s="73">
        <f>SUM(B2:I2)</f>
        <v>0</v>
      </c>
    </row>
    <row r="3" spans="1:10" ht="15" customHeight="1" x14ac:dyDescent="0.2">
      <c r="A3" s="72" t="s">
        <v>108</v>
      </c>
      <c r="D3" s="73"/>
      <c r="E3" s="73"/>
      <c r="G3" s="73">
        <f>B13</f>
        <v>0</v>
      </c>
      <c r="J3" s="73">
        <f t="shared" ref="J3" si="0">SUM(B3:I3)</f>
        <v>0</v>
      </c>
    </row>
    <row r="4" spans="1:10" ht="15" customHeight="1" x14ac:dyDescent="0.2">
      <c r="A4" s="72" t="s">
        <v>94</v>
      </c>
      <c r="B4" s="73">
        <f>B14</f>
        <v>0</v>
      </c>
      <c r="C4" s="73">
        <f>B14</f>
        <v>0</v>
      </c>
      <c r="D4" s="73">
        <f>B14</f>
        <v>0</v>
      </c>
      <c r="E4" s="73">
        <f>B14</f>
        <v>0</v>
      </c>
      <c r="F4" s="73">
        <f>B14</f>
        <v>0</v>
      </c>
      <c r="H4" s="73">
        <f>B14</f>
        <v>0</v>
      </c>
      <c r="I4" s="73">
        <f>B14</f>
        <v>0</v>
      </c>
      <c r="J4" s="73">
        <f>SUM(B4:I4)</f>
        <v>0</v>
      </c>
    </row>
    <row r="5" spans="1:10" ht="15" customHeight="1" x14ac:dyDescent="0.2">
      <c r="A5" s="167" t="s">
        <v>117</v>
      </c>
      <c r="B5" s="168"/>
      <c r="C5" s="168"/>
      <c r="D5" s="168"/>
      <c r="E5" s="168"/>
      <c r="F5" s="168"/>
      <c r="G5" s="168"/>
      <c r="H5" s="168"/>
      <c r="I5" s="168"/>
      <c r="J5" s="77">
        <f>SUM(J2:J4)</f>
        <v>0</v>
      </c>
    </row>
    <row r="6" spans="1:10" ht="15" customHeight="1" x14ac:dyDescent="0.2">
      <c r="A6" s="167" t="s">
        <v>118</v>
      </c>
      <c r="B6" s="168"/>
      <c r="C6" s="168"/>
      <c r="D6" s="168"/>
      <c r="E6" s="168"/>
      <c r="F6" s="168"/>
      <c r="G6" s="168"/>
      <c r="H6" s="168"/>
      <c r="I6" s="168"/>
      <c r="J6" s="77">
        <f>(J5)*0.1</f>
        <v>0</v>
      </c>
    </row>
    <row r="7" spans="1:10" ht="15" customHeight="1" x14ac:dyDescent="0.2">
      <c r="A7" s="167" t="s">
        <v>119</v>
      </c>
      <c r="B7" s="168"/>
      <c r="C7" s="168"/>
      <c r="D7" s="168"/>
      <c r="E7" s="168"/>
      <c r="F7" s="168"/>
      <c r="G7" s="168"/>
      <c r="H7" s="168"/>
      <c r="I7" s="168"/>
      <c r="J7" s="77">
        <f>(J6+J5)*0.3</f>
        <v>0</v>
      </c>
    </row>
    <row r="8" spans="1:10" ht="15" customHeight="1" x14ac:dyDescent="0.2">
      <c r="A8" s="169" t="s">
        <v>120</v>
      </c>
      <c r="B8" s="169"/>
      <c r="C8" s="169"/>
      <c r="D8" s="169"/>
      <c r="E8" s="169"/>
      <c r="F8" s="169"/>
      <c r="G8" s="169"/>
      <c r="H8" s="169"/>
      <c r="I8" s="169"/>
      <c r="J8" s="76">
        <f>SUM(J5:J7)</f>
        <v>0</v>
      </c>
    </row>
    <row r="12" spans="1:10" x14ac:dyDescent="0.2">
      <c r="A12" s="72" t="s">
        <v>89</v>
      </c>
      <c r="B12" s="73">
        <f>'Custo por equipamento'!I38</f>
        <v>0</v>
      </c>
    </row>
    <row r="13" spans="1:10" x14ac:dyDescent="0.2">
      <c r="A13" s="72" t="s">
        <v>108</v>
      </c>
      <c r="B13" s="73">
        <f>'Custo por equipamento'!I80</f>
        <v>0</v>
      </c>
    </row>
    <row r="14" spans="1:10" x14ac:dyDescent="0.2">
      <c r="A14" s="72" t="s">
        <v>94</v>
      </c>
      <c r="B14" s="73">
        <f>'Custo por equipamento'!I133</f>
        <v>0</v>
      </c>
    </row>
  </sheetData>
  <mergeCells count="4">
    <mergeCell ref="A5:I5"/>
    <mergeCell ref="A6:I6"/>
    <mergeCell ref="A7:I7"/>
    <mergeCell ref="A8:I8"/>
  </mergeCells>
  <pageMargins left="0.511811024" right="0.511811024" top="0.78740157499999996" bottom="0.78740157499999996" header="0.31496062000000002" footer="0.31496062000000002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showGridLines="0" tabSelected="1" view="pageBreakPreview" topLeftCell="C1" zoomScale="85" zoomScaleNormal="80" zoomScaleSheetLayoutView="85" workbookViewId="0">
      <selection activeCell="F140" sqref="F140"/>
    </sheetView>
  </sheetViews>
  <sheetFormatPr defaultRowHeight="15" x14ac:dyDescent="0.2"/>
  <cols>
    <col min="1" max="1" width="8.85546875" style="24" customWidth="1"/>
    <col min="2" max="2" width="30.85546875" style="17" customWidth="1"/>
    <col min="3" max="3" width="100.85546875" style="18" customWidth="1"/>
    <col min="4" max="4" width="10.7109375" style="19" customWidth="1"/>
    <col min="5" max="5" width="15.7109375" style="46" bestFit="1" customWidth="1"/>
    <col min="6" max="8" width="15.7109375" style="27" customWidth="1"/>
    <col min="9" max="9" width="17.5703125" style="27" bestFit="1" customWidth="1"/>
    <col min="10" max="16384" width="9.140625" style="1"/>
  </cols>
  <sheetData>
    <row r="1" spans="1:10" ht="30" customHeight="1" x14ac:dyDescent="0.2">
      <c r="A1" s="41" t="s">
        <v>10</v>
      </c>
      <c r="B1" s="40" t="s">
        <v>14</v>
      </c>
      <c r="C1" s="39" t="s">
        <v>11</v>
      </c>
      <c r="D1" s="52" t="s">
        <v>12</v>
      </c>
      <c r="E1" s="52" t="s">
        <v>17</v>
      </c>
      <c r="F1" s="53" t="s">
        <v>18</v>
      </c>
      <c r="G1" s="53" t="s">
        <v>19</v>
      </c>
      <c r="H1" s="53" t="s">
        <v>20</v>
      </c>
      <c r="I1" s="51" t="s">
        <v>13</v>
      </c>
    </row>
    <row r="2" spans="1:10" ht="20.100000000000001" customHeight="1" x14ac:dyDescent="0.2">
      <c r="A2" s="173" t="s">
        <v>89</v>
      </c>
      <c r="B2" s="174"/>
      <c r="C2" s="174"/>
      <c r="D2" s="174"/>
      <c r="E2" s="174"/>
      <c r="F2" s="174"/>
      <c r="G2" s="174"/>
      <c r="H2" s="174"/>
      <c r="I2" s="175"/>
    </row>
    <row r="3" spans="1:10" x14ac:dyDescent="0.2">
      <c r="A3" s="54">
        <v>1</v>
      </c>
      <c r="B3" s="55"/>
      <c r="C3" s="56" t="s">
        <v>25</v>
      </c>
      <c r="D3" s="57"/>
      <c r="E3" s="58"/>
      <c r="F3" s="59"/>
      <c r="G3" s="59"/>
      <c r="H3" s="60"/>
      <c r="I3" s="61">
        <f>SUM(I4:I9)</f>
        <v>0</v>
      </c>
    </row>
    <row r="4" spans="1:10" ht="30" x14ac:dyDescent="0.2">
      <c r="A4" s="22" t="s">
        <v>0</v>
      </c>
      <c r="B4" s="32" t="s">
        <v>23</v>
      </c>
      <c r="C4" s="33" t="s">
        <v>24</v>
      </c>
      <c r="D4" s="32" t="s">
        <v>1</v>
      </c>
      <c r="E4" s="47">
        <v>25</v>
      </c>
      <c r="F4" s="47"/>
      <c r="G4" s="47"/>
      <c r="H4" s="47"/>
      <c r="I4" s="48">
        <f>H4*E4</f>
        <v>0</v>
      </c>
      <c r="J4" s="28"/>
    </row>
    <row r="5" spans="1:10" x14ac:dyDescent="0.2">
      <c r="A5" s="22" t="s">
        <v>9</v>
      </c>
      <c r="B5" s="32" t="s">
        <v>132</v>
      </c>
      <c r="C5" s="33" t="s">
        <v>133</v>
      </c>
      <c r="D5" s="32" t="s">
        <v>1</v>
      </c>
      <c r="E5" s="47">
        <v>6</v>
      </c>
      <c r="F5" s="34"/>
      <c r="G5" s="35"/>
      <c r="H5" s="35"/>
      <c r="I5" s="48">
        <f>H5*E5</f>
        <v>0</v>
      </c>
      <c r="J5" s="28"/>
    </row>
    <row r="6" spans="1:10" x14ac:dyDescent="0.2">
      <c r="A6" s="22" t="s">
        <v>8</v>
      </c>
      <c r="B6" s="32" t="s">
        <v>86</v>
      </c>
      <c r="C6" s="33" t="s">
        <v>87</v>
      </c>
      <c r="D6" s="32" t="s">
        <v>1</v>
      </c>
      <c r="E6" s="47">
        <v>25</v>
      </c>
      <c r="F6" s="34"/>
      <c r="G6" s="35"/>
      <c r="H6" s="35"/>
      <c r="I6" s="48">
        <f>H6*E6</f>
        <v>0</v>
      </c>
    </row>
    <row r="7" spans="1:10" ht="30" x14ac:dyDescent="0.2">
      <c r="A7" s="22" t="s">
        <v>15</v>
      </c>
      <c r="B7" s="32" t="s">
        <v>62</v>
      </c>
      <c r="C7" s="33" t="s">
        <v>63</v>
      </c>
      <c r="D7" s="32" t="s">
        <v>3</v>
      </c>
      <c r="E7" s="47">
        <v>1</v>
      </c>
      <c r="F7" s="34"/>
      <c r="G7" s="35"/>
      <c r="H7" s="35"/>
      <c r="I7" s="48">
        <f t="shared" ref="I7:I9" si="0">H7*E7</f>
        <v>0</v>
      </c>
    </row>
    <row r="8" spans="1:10" x14ac:dyDescent="0.2">
      <c r="A8" s="22" t="s">
        <v>16</v>
      </c>
      <c r="B8" s="32" t="s">
        <v>68</v>
      </c>
      <c r="C8" s="33" t="s">
        <v>69</v>
      </c>
      <c r="D8" s="32" t="s">
        <v>2</v>
      </c>
      <c r="E8" s="47">
        <v>1</v>
      </c>
      <c r="F8" s="34"/>
      <c r="G8" s="35"/>
      <c r="H8" s="35"/>
      <c r="I8" s="48">
        <f t="shared" si="0"/>
        <v>0</v>
      </c>
    </row>
    <row r="9" spans="1:10" x14ac:dyDescent="0.2">
      <c r="A9" s="22" t="s">
        <v>99</v>
      </c>
      <c r="B9" s="32" t="s">
        <v>70</v>
      </c>
      <c r="C9" s="33" t="s">
        <v>71</v>
      </c>
      <c r="D9" s="32" t="s">
        <v>2</v>
      </c>
      <c r="E9" s="47">
        <v>1</v>
      </c>
      <c r="F9" s="34"/>
      <c r="G9" s="35"/>
      <c r="H9" s="35"/>
      <c r="I9" s="48">
        <f t="shared" si="0"/>
        <v>0</v>
      </c>
    </row>
    <row r="10" spans="1:10" x14ac:dyDescent="0.2">
      <c r="A10" s="22"/>
      <c r="B10" s="32"/>
      <c r="C10" s="33"/>
      <c r="D10" s="32"/>
      <c r="E10" s="47"/>
      <c r="F10" s="47"/>
      <c r="G10" s="47"/>
      <c r="H10" s="47"/>
      <c r="I10" s="48"/>
    </row>
    <row r="11" spans="1:10" x14ac:dyDescent="0.2">
      <c r="A11" s="54">
        <v>2</v>
      </c>
      <c r="B11" s="55"/>
      <c r="C11" s="56" t="s">
        <v>28</v>
      </c>
      <c r="D11" s="57"/>
      <c r="E11" s="100"/>
      <c r="F11" s="59"/>
      <c r="G11" s="59"/>
      <c r="H11" s="60"/>
      <c r="I11" s="61">
        <f>SUM(I12:I19)</f>
        <v>0</v>
      </c>
    </row>
    <row r="12" spans="1:10" x14ac:dyDescent="0.2">
      <c r="A12" s="22" t="s">
        <v>5</v>
      </c>
      <c r="B12" s="32" t="s">
        <v>31</v>
      </c>
      <c r="C12" s="33" t="s">
        <v>32</v>
      </c>
      <c r="D12" s="32" t="s">
        <v>2</v>
      </c>
      <c r="E12" s="101">
        <v>15</v>
      </c>
      <c r="F12" s="34"/>
      <c r="G12" s="35"/>
      <c r="H12" s="35"/>
      <c r="I12" s="16">
        <f>H12*E12</f>
        <v>0</v>
      </c>
    </row>
    <row r="13" spans="1:10" x14ac:dyDescent="0.2">
      <c r="A13" s="22" t="s">
        <v>6</v>
      </c>
      <c r="B13" s="92" t="s">
        <v>29</v>
      </c>
      <c r="C13" s="93" t="s">
        <v>30</v>
      </c>
      <c r="D13" s="92" t="s">
        <v>2</v>
      </c>
      <c r="E13" s="102">
        <v>2</v>
      </c>
      <c r="F13" s="94"/>
      <c r="G13" s="95"/>
      <c r="H13" s="95"/>
      <c r="I13" s="96">
        <f t="shared" ref="I13:I19" si="1">H13*E13</f>
        <v>0</v>
      </c>
    </row>
    <row r="14" spans="1:10" x14ac:dyDescent="0.2">
      <c r="A14" s="22" t="s">
        <v>7</v>
      </c>
      <c r="B14" s="92" t="s">
        <v>33</v>
      </c>
      <c r="C14" s="93" t="s">
        <v>34</v>
      </c>
      <c r="D14" s="92" t="s">
        <v>1</v>
      </c>
      <c r="E14" s="102">
        <v>34</v>
      </c>
      <c r="F14" s="94"/>
      <c r="G14" s="95"/>
      <c r="H14" s="95"/>
      <c r="I14" s="96">
        <f t="shared" si="1"/>
        <v>0</v>
      </c>
    </row>
    <row r="15" spans="1:10" x14ac:dyDescent="0.2">
      <c r="A15" s="22" t="s">
        <v>73</v>
      </c>
      <c r="B15" s="92" t="s">
        <v>35</v>
      </c>
      <c r="C15" s="93" t="s">
        <v>36</v>
      </c>
      <c r="D15" s="92" t="s">
        <v>2</v>
      </c>
      <c r="E15" s="102">
        <v>3</v>
      </c>
      <c r="F15" s="94"/>
      <c r="G15" s="95"/>
      <c r="H15" s="95"/>
      <c r="I15" s="96">
        <f t="shared" si="1"/>
        <v>0</v>
      </c>
    </row>
    <row r="16" spans="1:10" x14ac:dyDescent="0.2">
      <c r="A16" s="22" t="s">
        <v>74</v>
      </c>
      <c r="B16" s="92" t="s">
        <v>37</v>
      </c>
      <c r="C16" s="93" t="s">
        <v>38</v>
      </c>
      <c r="D16" s="92" t="s">
        <v>1</v>
      </c>
      <c r="E16" s="102">
        <v>30</v>
      </c>
      <c r="F16" s="94"/>
      <c r="G16" s="95"/>
      <c r="H16" s="95"/>
      <c r="I16" s="96">
        <f t="shared" si="1"/>
        <v>0</v>
      </c>
    </row>
    <row r="17" spans="1:9" x14ac:dyDescent="0.2">
      <c r="A17" s="22" t="s">
        <v>75</v>
      </c>
      <c r="B17" s="92" t="s">
        <v>39</v>
      </c>
      <c r="C17" s="93" t="s">
        <v>40</v>
      </c>
      <c r="D17" s="92" t="s">
        <v>41</v>
      </c>
      <c r="E17" s="102">
        <v>600</v>
      </c>
      <c r="F17" s="94"/>
      <c r="G17" s="95"/>
      <c r="H17" s="95"/>
      <c r="I17" s="96">
        <f t="shared" si="1"/>
        <v>0</v>
      </c>
    </row>
    <row r="18" spans="1:9" ht="30" x14ac:dyDescent="0.2">
      <c r="A18" s="22" t="s">
        <v>122</v>
      </c>
      <c r="B18" s="32" t="s">
        <v>82</v>
      </c>
      <c r="C18" s="33" t="s">
        <v>83</v>
      </c>
      <c r="D18" s="32" t="s">
        <v>2</v>
      </c>
      <c r="E18" s="101">
        <v>5</v>
      </c>
      <c r="F18" s="34"/>
      <c r="G18" s="35"/>
      <c r="H18" s="35"/>
      <c r="I18" s="16">
        <f t="shared" si="1"/>
        <v>0</v>
      </c>
    </row>
    <row r="19" spans="1:9" x14ac:dyDescent="0.2">
      <c r="A19" s="22" t="s">
        <v>131</v>
      </c>
      <c r="B19" s="32" t="s">
        <v>129</v>
      </c>
      <c r="C19" s="33" t="s">
        <v>130</v>
      </c>
      <c r="D19" s="32" t="s">
        <v>2</v>
      </c>
      <c r="E19" s="101">
        <v>7</v>
      </c>
      <c r="F19" s="34"/>
      <c r="G19" s="35"/>
      <c r="H19" s="35"/>
      <c r="I19" s="91">
        <f t="shared" si="1"/>
        <v>0</v>
      </c>
    </row>
    <row r="20" spans="1:9" x14ac:dyDescent="0.2">
      <c r="A20" s="22"/>
      <c r="B20" s="32"/>
      <c r="C20" s="36"/>
      <c r="D20" s="49"/>
      <c r="E20" s="103"/>
      <c r="F20" s="43"/>
      <c r="G20" s="44"/>
      <c r="H20" s="50"/>
      <c r="I20" s="16"/>
    </row>
    <row r="21" spans="1:9" x14ac:dyDescent="0.2">
      <c r="A21" s="21">
        <v>3</v>
      </c>
      <c r="B21" s="20"/>
      <c r="C21" s="29" t="s">
        <v>42</v>
      </c>
      <c r="D21" s="38"/>
      <c r="E21" s="104"/>
      <c r="F21" s="30"/>
      <c r="G21" s="30"/>
      <c r="H21" s="31"/>
      <c r="I21" s="26">
        <f>SUM(I22:I29)</f>
        <v>0</v>
      </c>
    </row>
    <row r="22" spans="1:9" x14ac:dyDescent="0.2">
      <c r="A22" s="22" t="s">
        <v>45</v>
      </c>
      <c r="B22" s="32" t="s">
        <v>44</v>
      </c>
      <c r="C22" s="33" t="s">
        <v>52</v>
      </c>
      <c r="D22" s="32" t="s">
        <v>3</v>
      </c>
      <c r="E22" s="47">
        <v>110</v>
      </c>
      <c r="F22" s="34"/>
      <c r="G22" s="35"/>
      <c r="H22" s="35"/>
      <c r="I22" s="16">
        <f>H22*E22</f>
        <v>0</v>
      </c>
    </row>
    <row r="23" spans="1:9" x14ac:dyDescent="0.2">
      <c r="A23" s="22" t="s">
        <v>46</v>
      </c>
      <c r="B23" s="32" t="s">
        <v>44</v>
      </c>
      <c r="C23" s="33" t="s">
        <v>53</v>
      </c>
      <c r="D23" s="32" t="s">
        <v>3</v>
      </c>
      <c r="E23" s="47">
        <v>12</v>
      </c>
      <c r="F23" s="34"/>
      <c r="G23" s="35"/>
      <c r="H23" s="35"/>
      <c r="I23" s="16">
        <f>H23*E23</f>
        <v>0</v>
      </c>
    </row>
    <row r="24" spans="1:9" x14ac:dyDescent="0.2">
      <c r="A24" s="22" t="s">
        <v>47</v>
      </c>
      <c r="B24" s="32" t="s">
        <v>44</v>
      </c>
      <c r="C24" s="33" t="s">
        <v>54</v>
      </c>
      <c r="D24" s="32" t="s">
        <v>3</v>
      </c>
      <c r="E24" s="47">
        <v>20</v>
      </c>
      <c r="F24" s="34"/>
      <c r="G24" s="35"/>
      <c r="H24" s="35"/>
      <c r="I24" s="16">
        <f>H24*E24</f>
        <v>0</v>
      </c>
    </row>
    <row r="25" spans="1:9" x14ac:dyDescent="0.2">
      <c r="A25" s="22" t="s">
        <v>48</v>
      </c>
      <c r="B25" s="32" t="s">
        <v>44</v>
      </c>
      <c r="C25" s="36" t="s">
        <v>88</v>
      </c>
      <c r="D25" s="32" t="s">
        <v>3</v>
      </c>
      <c r="E25" s="47">
        <v>50</v>
      </c>
      <c r="F25" s="34"/>
      <c r="G25" s="35"/>
      <c r="H25" s="35"/>
      <c r="I25" s="16">
        <f t="shared" ref="I25:I29" si="2">H25*E25</f>
        <v>0</v>
      </c>
    </row>
    <row r="26" spans="1:9" x14ac:dyDescent="0.2">
      <c r="A26" s="22" t="s">
        <v>76</v>
      </c>
      <c r="B26" s="62" t="s">
        <v>49</v>
      </c>
      <c r="C26" s="63" t="s">
        <v>50</v>
      </c>
      <c r="D26" s="64" t="s">
        <v>51</v>
      </c>
      <c r="E26" s="105">
        <v>44</v>
      </c>
      <c r="F26" s="34"/>
      <c r="G26" s="35"/>
      <c r="H26" s="35"/>
      <c r="I26" s="16">
        <f t="shared" si="2"/>
        <v>0</v>
      </c>
    </row>
    <row r="27" spans="1:9" x14ac:dyDescent="0.2">
      <c r="A27" s="22" t="s">
        <v>77</v>
      </c>
      <c r="B27" s="62" t="s">
        <v>55</v>
      </c>
      <c r="C27" s="63" t="s">
        <v>56</v>
      </c>
      <c r="D27" s="64" t="s">
        <v>51</v>
      </c>
      <c r="E27" s="105">
        <v>44</v>
      </c>
      <c r="F27" s="34"/>
      <c r="G27" s="35"/>
      <c r="H27" s="35"/>
      <c r="I27" s="16">
        <f t="shared" si="2"/>
        <v>0</v>
      </c>
    </row>
    <row r="28" spans="1:9" x14ac:dyDescent="0.2">
      <c r="A28" s="22" t="s">
        <v>78</v>
      </c>
      <c r="B28" s="62" t="s">
        <v>57</v>
      </c>
      <c r="C28" s="63" t="s">
        <v>58</v>
      </c>
      <c r="D28" s="64" t="s">
        <v>51</v>
      </c>
      <c r="E28" s="105">
        <v>44</v>
      </c>
      <c r="F28" s="34"/>
      <c r="G28" s="35"/>
      <c r="H28" s="35"/>
      <c r="I28" s="16">
        <f t="shared" si="2"/>
        <v>0</v>
      </c>
    </row>
    <row r="29" spans="1:9" x14ac:dyDescent="0.2">
      <c r="A29" s="22"/>
      <c r="B29" s="32" t="s">
        <v>84</v>
      </c>
      <c r="C29" s="33" t="s">
        <v>85</v>
      </c>
      <c r="D29" s="32" t="s">
        <v>4</v>
      </c>
      <c r="E29" s="105">
        <v>20</v>
      </c>
      <c r="F29" s="34"/>
      <c r="G29" s="35"/>
      <c r="H29" s="35"/>
      <c r="I29" s="16">
        <f t="shared" si="2"/>
        <v>0</v>
      </c>
    </row>
    <row r="30" spans="1:9" x14ac:dyDescent="0.2">
      <c r="A30" s="22"/>
      <c r="B30" s="32"/>
      <c r="C30" s="36"/>
      <c r="D30" s="49"/>
      <c r="E30" s="103"/>
      <c r="F30" s="43"/>
      <c r="G30" s="44"/>
      <c r="H30" s="50"/>
      <c r="I30" s="16"/>
    </row>
    <row r="31" spans="1:9" x14ac:dyDescent="0.2">
      <c r="A31" s="21">
        <v>4</v>
      </c>
      <c r="B31" s="20"/>
      <c r="C31" s="29" t="s">
        <v>59</v>
      </c>
      <c r="D31" s="38"/>
      <c r="E31" s="104"/>
      <c r="F31" s="30"/>
      <c r="G31" s="30"/>
      <c r="H31" s="31"/>
      <c r="I31" s="26">
        <f>SUM(I32:I34)</f>
        <v>0</v>
      </c>
    </row>
    <row r="32" spans="1:9" ht="30" x14ac:dyDescent="0.2">
      <c r="A32" s="22" t="s">
        <v>79</v>
      </c>
      <c r="B32" s="32" t="s">
        <v>60</v>
      </c>
      <c r="C32" s="33" t="s">
        <v>61</v>
      </c>
      <c r="D32" s="32" t="s">
        <v>41</v>
      </c>
      <c r="E32" s="105">
        <v>10</v>
      </c>
      <c r="F32" s="34"/>
      <c r="G32" s="35"/>
      <c r="H32" s="35"/>
      <c r="I32" s="16">
        <f>H32*E32</f>
        <v>0</v>
      </c>
    </row>
    <row r="33" spans="1:10" x14ac:dyDescent="0.2">
      <c r="A33" s="22"/>
      <c r="B33" s="32"/>
      <c r="C33" s="36"/>
      <c r="D33" s="32"/>
      <c r="E33" s="47"/>
      <c r="F33" s="34"/>
      <c r="G33" s="35"/>
      <c r="H33" s="35"/>
      <c r="I33" s="16"/>
    </row>
    <row r="34" spans="1:10" x14ac:dyDescent="0.2">
      <c r="A34" s="21">
        <v>5</v>
      </c>
      <c r="B34" s="20"/>
      <c r="C34" s="29" t="s">
        <v>43</v>
      </c>
      <c r="D34" s="38"/>
      <c r="E34" s="104"/>
      <c r="F34" s="30"/>
      <c r="G34" s="30"/>
      <c r="H34" s="31"/>
      <c r="I34" s="26">
        <f>SUM(I35:I36)</f>
        <v>0</v>
      </c>
    </row>
    <row r="35" spans="1:10" x14ac:dyDescent="0.2">
      <c r="A35" s="22" t="s">
        <v>80</v>
      </c>
      <c r="B35" s="32" t="s">
        <v>64</v>
      </c>
      <c r="C35" s="33" t="s">
        <v>65</v>
      </c>
      <c r="D35" s="32" t="s">
        <v>1</v>
      </c>
      <c r="E35" s="101">
        <v>70</v>
      </c>
      <c r="F35" s="34"/>
      <c r="G35" s="35"/>
      <c r="H35" s="35"/>
      <c r="I35" s="16">
        <f>H35*E35</f>
        <v>0</v>
      </c>
    </row>
    <row r="36" spans="1:10" x14ac:dyDescent="0.2">
      <c r="A36" s="22" t="s">
        <v>81</v>
      </c>
      <c r="B36" s="32" t="s">
        <v>66</v>
      </c>
      <c r="C36" s="33" t="s">
        <v>67</v>
      </c>
      <c r="D36" s="32" t="s">
        <v>1</v>
      </c>
      <c r="E36" s="101">
        <v>70</v>
      </c>
      <c r="F36" s="34"/>
      <c r="G36" s="35"/>
      <c r="H36" s="35"/>
      <c r="I36" s="16">
        <f>H36*E36</f>
        <v>0</v>
      </c>
    </row>
    <row r="37" spans="1:10" x14ac:dyDescent="0.2">
      <c r="A37" s="22"/>
      <c r="B37" s="32"/>
      <c r="C37" s="33"/>
      <c r="D37" s="32"/>
      <c r="E37" s="101"/>
      <c r="F37" s="34"/>
      <c r="G37" s="35"/>
      <c r="H37" s="35"/>
      <c r="I37" s="16"/>
    </row>
    <row r="38" spans="1:10" ht="20.100000000000001" customHeight="1" x14ac:dyDescent="0.2">
      <c r="A38" s="170" t="s">
        <v>72</v>
      </c>
      <c r="B38" s="171"/>
      <c r="C38" s="171"/>
      <c r="D38" s="171"/>
      <c r="E38" s="171"/>
      <c r="F38" s="171"/>
      <c r="G38" s="171"/>
      <c r="H38" s="172"/>
      <c r="I38" s="71">
        <f>I34+I31+I21+I11+I3</f>
        <v>0</v>
      </c>
    </row>
    <row r="39" spans="1:10" x14ac:dyDescent="0.2">
      <c r="A39" s="22"/>
      <c r="B39" s="32"/>
      <c r="C39" s="36"/>
      <c r="D39" s="32"/>
      <c r="E39" s="47"/>
      <c r="F39" s="34"/>
      <c r="G39" s="35"/>
      <c r="H39" s="35"/>
      <c r="I39" s="16"/>
    </row>
    <row r="40" spans="1:10" ht="20.100000000000001" customHeight="1" x14ac:dyDescent="0.2">
      <c r="A40" s="173" t="s">
        <v>90</v>
      </c>
      <c r="B40" s="174"/>
      <c r="C40" s="174"/>
      <c r="D40" s="174"/>
      <c r="E40" s="174"/>
      <c r="F40" s="174"/>
      <c r="G40" s="174"/>
      <c r="H40" s="174"/>
      <c r="I40" s="175"/>
    </row>
    <row r="41" spans="1:10" x14ac:dyDescent="0.2">
      <c r="A41" s="54">
        <v>1</v>
      </c>
      <c r="B41" s="55"/>
      <c r="C41" s="56" t="s">
        <v>25</v>
      </c>
      <c r="D41" s="57"/>
      <c r="E41" s="58"/>
      <c r="F41" s="59"/>
      <c r="G41" s="59"/>
      <c r="H41" s="60"/>
      <c r="I41" s="61">
        <f>SUM(I42:I47)</f>
        <v>0</v>
      </c>
    </row>
    <row r="42" spans="1:10" ht="30" x14ac:dyDescent="0.2">
      <c r="A42" s="22" t="s">
        <v>0</v>
      </c>
      <c r="B42" s="32" t="s">
        <v>23</v>
      </c>
      <c r="C42" s="33" t="s">
        <v>24</v>
      </c>
      <c r="D42" s="32" t="s">
        <v>1</v>
      </c>
      <c r="E42" s="47">
        <v>25</v>
      </c>
      <c r="F42" s="47"/>
      <c r="G42" s="47"/>
      <c r="H42" s="47"/>
      <c r="I42" s="48">
        <f>H42*E42</f>
        <v>0</v>
      </c>
      <c r="J42" s="28"/>
    </row>
    <row r="43" spans="1:10" x14ac:dyDescent="0.2">
      <c r="A43" s="22" t="s">
        <v>9</v>
      </c>
      <c r="B43" s="32" t="s">
        <v>132</v>
      </c>
      <c r="C43" s="33" t="s">
        <v>133</v>
      </c>
      <c r="D43" s="32" t="s">
        <v>1</v>
      </c>
      <c r="E43" s="47">
        <v>6</v>
      </c>
      <c r="F43" s="34"/>
      <c r="G43" s="35"/>
      <c r="H43" s="35"/>
      <c r="I43" s="48">
        <f>H43*E43</f>
        <v>0</v>
      </c>
      <c r="J43" s="28"/>
    </row>
    <row r="44" spans="1:10" x14ac:dyDescent="0.2">
      <c r="A44" s="22" t="s">
        <v>8</v>
      </c>
      <c r="B44" s="32" t="s">
        <v>86</v>
      </c>
      <c r="C44" s="33" t="s">
        <v>87</v>
      </c>
      <c r="D44" s="32" t="s">
        <v>1</v>
      </c>
      <c r="E44" s="47">
        <v>25</v>
      </c>
      <c r="F44" s="34"/>
      <c r="G44" s="35"/>
      <c r="H44" s="35"/>
      <c r="I44" s="48">
        <f>H44*E44</f>
        <v>0</v>
      </c>
    </row>
    <row r="45" spans="1:10" ht="30" x14ac:dyDescent="0.2">
      <c r="A45" s="22" t="s">
        <v>15</v>
      </c>
      <c r="B45" s="32" t="s">
        <v>62</v>
      </c>
      <c r="C45" s="33" t="s">
        <v>63</v>
      </c>
      <c r="D45" s="32" t="s">
        <v>3</v>
      </c>
      <c r="E45" s="47">
        <v>1</v>
      </c>
      <c r="F45" s="34"/>
      <c r="G45" s="35"/>
      <c r="H45" s="35"/>
      <c r="I45" s="48">
        <f t="shared" ref="I45:I47" si="3">H45*E45</f>
        <v>0</v>
      </c>
    </row>
    <row r="46" spans="1:10" x14ac:dyDescent="0.2">
      <c r="A46" s="22" t="s">
        <v>16</v>
      </c>
      <c r="B46" s="32" t="s">
        <v>68</v>
      </c>
      <c r="C46" s="33" t="s">
        <v>69</v>
      </c>
      <c r="D46" s="32" t="s">
        <v>2</v>
      </c>
      <c r="E46" s="47">
        <v>1</v>
      </c>
      <c r="F46" s="34"/>
      <c r="G46" s="35"/>
      <c r="H46" s="35"/>
      <c r="I46" s="48">
        <f t="shared" si="3"/>
        <v>0</v>
      </c>
    </row>
    <row r="47" spans="1:10" x14ac:dyDescent="0.2">
      <c r="A47" s="22" t="s">
        <v>99</v>
      </c>
      <c r="B47" s="32" t="s">
        <v>70</v>
      </c>
      <c r="C47" s="33" t="s">
        <v>71</v>
      </c>
      <c r="D47" s="32" t="s">
        <v>2</v>
      </c>
      <c r="E47" s="47">
        <v>1</v>
      </c>
      <c r="F47" s="34"/>
      <c r="G47" s="35"/>
      <c r="H47" s="35"/>
      <c r="I47" s="48">
        <f t="shared" si="3"/>
        <v>0</v>
      </c>
    </row>
    <row r="48" spans="1:10" x14ac:dyDescent="0.2">
      <c r="A48" s="22"/>
      <c r="B48" s="32"/>
      <c r="C48" s="33"/>
      <c r="D48" s="32"/>
      <c r="E48" s="47"/>
      <c r="F48" s="47"/>
      <c r="G48" s="47"/>
      <c r="H48" s="47"/>
      <c r="I48" s="48"/>
    </row>
    <row r="49" spans="1:9" x14ac:dyDescent="0.2">
      <c r="A49" s="54">
        <v>2</v>
      </c>
      <c r="B49" s="55"/>
      <c r="C49" s="56" t="s">
        <v>28</v>
      </c>
      <c r="D49" s="57"/>
      <c r="E49" s="100"/>
      <c r="F49" s="59"/>
      <c r="G49" s="59"/>
      <c r="H49" s="60"/>
      <c r="I49" s="61">
        <f>SUM(I50:I57)</f>
        <v>0</v>
      </c>
    </row>
    <row r="50" spans="1:9" x14ac:dyDescent="0.2">
      <c r="A50" s="22" t="s">
        <v>5</v>
      </c>
      <c r="B50" s="32" t="s">
        <v>31</v>
      </c>
      <c r="C50" s="33" t="s">
        <v>32</v>
      </c>
      <c r="D50" s="32" t="s">
        <v>2</v>
      </c>
      <c r="E50" s="101">
        <v>15</v>
      </c>
      <c r="F50" s="34"/>
      <c r="G50" s="35"/>
      <c r="H50" s="35"/>
      <c r="I50" s="16">
        <f>H50*E50</f>
        <v>0</v>
      </c>
    </row>
    <row r="51" spans="1:9" x14ac:dyDescent="0.2">
      <c r="A51" s="22" t="s">
        <v>6</v>
      </c>
      <c r="B51" s="92" t="s">
        <v>29</v>
      </c>
      <c r="C51" s="93" t="s">
        <v>30</v>
      </c>
      <c r="D51" s="92" t="s">
        <v>2</v>
      </c>
      <c r="E51" s="102">
        <v>2</v>
      </c>
      <c r="F51" s="94"/>
      <c r="G51" s="95"/>
      <c r="H51" s="95"/>
      <c r="I51" s="16">
        <f t="shared" ref="I51:I57" si="4">H51*E51</f>
        <v>0</v>
      </c>
    </row>
    <row r="52" spans="1:9" x14ac:dyDescent="0.2">
      <c r="A52" s="22" t="s">
        <v>7</v>
      </c>
      <c r="B52" s="92" t="s">
        <v>33</v>
      </c>
      <c r="C52" s="93" t="s">
        <v>34</v>
      </c>
      <c r="D52" s="92" t="s">
        <v>1</v>
      </c>
      <c r="E52" s="102">
        <v>34</v>
      </c>
      <c r="F52" s="94"/>
      <c r="G52" s="95"/>
      <c r="H52" s="95"/>
      <c r="I52" s="16">
        <f t="shared" si="4"/>
        <v>0</v>
      </c>
    </row>
    <row r="53" spans="1:9" x14ac:dyDescent="0.2">
      <c r="A53" s="22" t="s">
        <v>73</v>
      </c>
      <c r="B53" s="92" t="s">
        <v>35</v>
      </c>
      <c r="C53" s="93" t="s">
        <v>36</v>
      </c>
      <c r="D53" s="92" t="s">
        <v>2</v>
      </c>
      <c r="E53" s="102">
        <v>3</v>
      </c>
      <c r="F53" s="94"/>
      <c r="G53" s="95"/>
      <c r="H53" s="95"/>
      <c r="I53" s="16">
        <f t="shared" si="4"/>
        <v>0</v>
      </c>
    </row>
    <row r="54" spans="1:9" x14ac:dyDescent="0.2">
      <c r="A54" s="22" t="s">
        <v>74</v>
      </c>
      <c r="B54" s="92" t="s">
        <v>37</v>
      </c>
      <c r="C54" s="93" t="s">
        <v>38</v>
      </c>
      <c r="D54" s="92" t="s">
        <v>1</v>
      </c>
      <c r="E54" s="102">
        <v>30</v>
      </c>
      <c r="F54" s="94"/>
      <c r="G54" s="95"/>
      <c r="H54" s="95"/>
      <c r="I54" s="16">
        <f t="shared" si="4"/>
        <v>0</v>
      </c>
    </row>
    <row r="55" spans="1:9" x14ac:dyDescent="0.2">
      <c r="A55" s="22" t="s">
        <v>75</v>
      </c>
      <c r="B55" s="92" t="s">
        <v>39</v>
      </c>
      <c r="C55" s="93" t="s">
        <v>40</v>
      </c>
      <c r="D55" s="92" t="s">
        <v>41</v>
      </c>
      <c r="E55" s="102">
        <v>600</v>
      </c>
      <c r="F55" s="94"/>
      <c r="G55" s="95"/>
      <c r="H55" s="95"/>
      <c r="I55" s="16">
        <f t="shared" si="4"/>
        <v>0</v>
      </c>
    </row>
    <row r="56" spans="1:9" ht="30" x14ac:dyDescent="0.2">
      <c r="A56" s="22" t="s">
        <v>122</v>
      </c>
      <c r="B56" s="32" t="s">
        <v>82</v>
      </c>
      <c r="C56" s="33" t="s">
        <v>83</v>
      </c>
      <c r="D56" s="32" t="s">
        <v>2</v>
      </c>
      <c r="E56" s="101">
        <v>5</v>
      </c>
      <c r="F56" s="34"/>
      <c r="G56" s="35"/>
      <c r="H56" s="35"/>
      <c r="I56" s="16">
        <f t="shared" si="4"/>
        <v>0</v>
      </c>
    </row>
    <row r="57" spans="1:9" x14ac:dyDescent="0.2">
      <c r="A57" s="22" t="s">
        <v>131</v>
      </c>
      <c r="B57" s="32" t="s">
        <v>129</v>
      </c>
      <c r="C57" s="33" t="s">
        <v>130</v>
      </c>
      <c r="D57" s="32" t="s">
        <v>2</v>
      </c>
      <c r="E57" s="101">
        <v>7</v>
      </c>
      <c r="F57" s="34"/>
      <c r="G57" s="35"/>
      <c r="H57" s="35"/>
      <c r="I57" s="16">
        <f t="shared" si="4"/>
        <v>0</v>
      </c>
    </row>
    <row r="58" spans="1:9" x14ac:dyDescent="0.2">
      <c r="A58" s="22"/>
      <c r="B58" s="32"/>
      <c r="C58" s="36"/>
      <c r="D58" s="49"/>
      <c r="E58" s="103"/>
      <c r="F58" s="43"/>
      <c r="G58" s="44"/>
      <c r="H58" s="50"/>
      <c r="I58" s="16"/>
    </row>
    <row r="59" spans="1:9" x14ac:dyDescent="0.2">
      <c r="A59" s="21">
        <v>3</v>
      </c>
      <c r="B59" s="20"/>
      <c r="C59" s="29" t="s">
        <v>42</v>
      </c>
      <c r="D59" s="38"/>
      <c r="E59" s="104"/>
      <c r="F59" s="30"/>
      <c r="G59" s="30"/>
      <c r="H59" s="31"/>
      <c r="I59" s="26">
        <f>SUM(I60:I67)</f>
        <v>0</v>
      </c>
    </row>
    <row r="60" spans="1:9" x14ac:dyDescent="0.2">
      <c r="A60" s="22" t="s">
        <v>45</v>
      </c>
      <c r="B60" s="32" t="s">
        <v>44</v>
      </c>
      <c r="C60" s="33" t="s">
        <v>52</v>
      </c>
      <c r="D60" s="32" t="s">
        <v>3</v>
      </c>
      <c r="E60" s="47">
        <v>110</v>
      </c>
      <c r="F60" s="34"/>
      <c r="G60" s="35"/>
      <c r="H60" s="35"/>
      <c r="I60" s="16">
        <f>H60*E60</f>
        <v>0</v>
      </c>
    </row>
    <row r="61" spans="1:9" x14ac:dyDescent="0.2">
      <c r="A61" s="22" t="s">
        <v>46</v>
      </c>
      <c r="B61" s="32" t="s">
        <v>44</v>
      </c>
      <c r="C61" s="33" t="s">
        <v>53</v>
      </c>
      <c r="D61" s="32" t="s">
        <v>3</v>
      </c>
      <c r="E61" s="47">
        <v>8</v>
      </c>
      <c r="F61" s="34"/>
      <c r="G61" s="35"/>
      <c r="H61" s="35"/>
      <c r="I61" s="16">
        <f>H61*E61</f>
        <v>0</v>
      </c>
    </row>
    <row r="62" spans="1:9" x14ac:dyDescent="0.2">
      <c r="A62" s="22" t="s">
        <v>47</v>
      </c>
      <c r="B62" s="32" t="s">
        <v>44</v>
      </c>
      <c r="C62" s="33" t="s">
        <v>54</v>
      </c>
      <c r="D62" s="32" t="s">
        <v>3</v>
      </c>
      <c r="E62" s="47">
        <v>20</v>
      </c>
      <c r="F62" s="34"/>
      <c r="G62" s="35"/>
      <c r="H62" s="35"/>
      <c r="I62" s="16">
        <f>H62*E62</f>
        <v>0</v>
      </c>
    </row>
    <row r="63" spans="1:9" x14ac:dyDescent="0.2">
      <c r="A63" s="22" t="s">
        <v>48</v>
      </c>
      <c r="B63" s="32" t="s">
        <v>44</v>
      </c>
      <c r="C63" s="36" t="s">
        <v>88</v>
      </c>
      <c r="D63" s="32" t="s">
        <v>3</v>
      </c>
      <c r="E63" s="47">
        <v>50</v>
      </c>
      <c r="F63" s="34"/>
      <c r="G63" s="35"/>
      <c r="H63" s="35"/>
      <c r="I63" s="16">
        <f t="shared" ref="I63:I67" si="5">H63*E63</f>
        <v>0</v>
      </c>
    </row>
    <row r="64" spans="1:9" x14ac:dyDescent="0.2">
      <c r="A64" s="22" t="s">
        <v>76</v>
      </c>
      <c r="B64" s="62" t="s">
        <v>49</v>
      </c>
      <c r="C64" s="63" t="s">
        <v>50</v>
      </c>
      <c r="D64" s="64" t="s">
        <v>51</v>
      </c>
      <c r="E64" s="105">
        <v>44</v>
      </c>
      <c r="F64" s="34"/>
      <c r="G64" s="35"/>
      <c r="H64" s="35"/>
      <c r="I64" s="16">
        <f t="shared" si="5"/>
        <v>0</v>
      </c>
    </row>
    <row r="65" spans="1:9" x14ac:dyDescent="0.2">
      <c r="A65" s="22" t="s">
        <v>77</v>
      </c>
      <c r="B65" s="62" t="s">
        <v>55</v>
      </c>
      <c r="C65" s="63" t="s">
        <v>56</v>
      </c>
      <c r="D65" s="64" t="s">
        <v>51</v>
      </c>
      <c r="E65" s="105">
        <v>44</v>
      </c>
      <c r="F65" s="34"/>
      <c r="G65" s="35"/>
      <c r="H65" s="35"/>
      <c r="I65" s="16">
        <f t="shared" si="5"/>
        <v>0</v>
      </c>
    </row>
    <row r="66" spans="1:9" x14ac:dyDescent="0.2">
      <c r="A66" s="22" t="s">
        <v>78</v>
      </c>
      <c r="B66" s="62" t="s">
        <v>57</v>
      </c>
      <c r="C66" s="63" t="s">
        <v>58</v>
      </c>
      <c r="D66" s="64" t="s">
        <v>51</v>
      </c>
      <c r="E66" s="105">
        <v>44</v>
      </c>
      <c r="F66" s="34"/>
      <c r="G66" s="35"/>
      <c r="H66" s="35"/>
      <c r="I66" s="16">
        <f t="shared" si="5"/>
        <v>0</v>
      </c>
    </row>
    <row r="67" spans="1:9" x14ac:dyDescent="0.2">
      <c r="A67" s="22"/>
      <c r="B67" s="32" t="s">
        <v>84</v>
      </c>
      <c r="C67" s="33" t="s">
        <v>85</v>
      </c>
      <c r="D67" s="32" t="s">
        <v>4</v>
      </c>
      <c r="E67" s="105">
        <v>20</v>
      </c>
      <c r="F67" s="34"/>
      <c r="G67" s="35"/>
      <c r="H67" s="35"/>
      <c r="I67" s="16">
        <f t="shared" si="5"/>
        <v>0</v>
      </c>
    </row>
    <row r="68" spans="1:9" x14ac:dyDescent="0.2">
      <c r="A68" s="22"/>
      <c r="B68" s="32"/>
      <c r="C68" s="36"/>
      <c r="D68" s="49"/>
      <c r="E68" s="103"/>
      <c r="F68" s="43"/>
      <c r="G68" s="44"/>
      <c r="H68" s="50"/>
      <c r="I68" s="16"/>
    </row>
    <row r="69" spans="1:9" x14ac:dyDescent="0.2">
      <c r="A69" s="21">
        <v>3</v>
      </c>
      <c r="B69" s="20"/>
      <c r="C69" s="29" t="s">
        <v>91</v>
      </c>
      <c r="D69" s="38"/>
      <c r="E69" s="104"/>
      <c r="F69" s="30"/>
      <c r="G69" s="30"/>
      <c r="H69" s="31"/>
      <c r="I69" s="26">
        <f>SUM(I70:I71)</f>
        <v>0</v>
      </c>
    </row>
    <row r="70" spans="1:9" x14ac:dyDescent="0.2">
      <c r="A70" s="22"/>
      <c r="B70" s="32" t="s">
        <v>44</v>
      </c>
      <c r="C70" s="33" t="s">
        <v>92</v>
      </c>
      <c r="D70" s="32" t="s">
        <v>93</v>
      </c>
      <c r="E70" s="47">
        <v>2</v>
      </c>
      <c r="F70" s="34"/>
      <c r="G70" s="35"/>
      <c r="H70" s="35"/>
      <c r="I70" s="16">
        <f>H70*E70</f>
        <v>0</v>
      </c>
    </row>
    <row r="71" spans="1:9" x14ac:dyDescent="0.2">
      <c r="A71" s="65"/>
      <c r="B71" s="66"/>
      <c r="C71" s="67"/>
      <c r="D71" s="68"/>
      <c r="E71" s="106"/>
      <c r="F71" s="15"/>
      <c r="G71" s="15"/>
      <c r="H71" s="69"/>
      <c r="I71" s="70"/>
    </row>
    <row r="72" spans="1:9" x14ac:dyDescent="0.2">
      <c r="A72" s="22"/>
      <c r="B72" s="32"/>
      <c r="C72" s="36"/>
      <c r="D72" s="49"/>
      <c r="E72" s="103"/>
      <c r="F72" s="43"/>
      <c r="G72" s="44"/>
      <c r="H72" s="50"/>
      <c r="I72" s="16"/>
    </row>
    <row r="73" spans="1:9" x14ac:dyDescent="0.2">
      <c r="A73" s="21">
        <v>4</v>
      </c>
      <c r="B73" s="20"/>
      <c r="C73" s="29" t="s">
        <v>59</v>
      </c>
      <c r="D73" s="38"/>
      <c r="E73" s="104"/>
      <c r="F73" s="30"/>
      <c r="G73" s="30"/>
      <c r="H73" s="31"/>
      <c r="I73" s="26">
        <f>SUM(I74:I76)</f>
        <v>0</v>
      </c>
    </row>
    <row r="74" spans="1:9" ht="30" x14ac:dyDescent="0.2">
      <c r="A74" s="22" t="s">
        <v>79</v>
      </c>
      <c r="B74" s="32" t="s">
        <v>60</v>
      </c>
      <c r="C74" s="33" t="s">
        <v>61</v>
      </c>
      <c r="D74" s="32" t="s">
        <v>41</v>
      </c>
      <c r="E74" s="105">
        <v>10</v>
      </c>
      <c r="F74" s="34"/>
      <c r="G74" s="35"/>
      <c r="H74" s="35"/>
      <c r="I74" s="16">
        <f>H74*E74</f>
        <v>0</v>
      </c>
    </row>
    <row r="75" spans="1:9" x14ac:dyDescent="0.2">
      <c r="A75" s="22"/>
      <c r="B75" s="32"/>
      <c r="C75" s="36"/>
      <c r="D75" s="32"/>
      <c r="E75" s="47"/>
      <c r="F75" s="34"/>
      <c r="G75" s="35"/>
      <c r="H75" s="35"/>
      <c r="I75" s="16"/>
    </row>
    <row r="76" spans="1:9" x14ac:dyDescent="0.2">
      <c r="A76" s="21">
        <v>5</v>
      </c>
      <c r="B76" s="20"/>
      <c r="C76" s="29" t="s">
        <v>43</v>
      </c>
      <c r="D76" s="38"/>
      <c r="E76" s="104"/>
      <c r="F76" s="30"/>
      <c r="G76" s="30"/>
      <c r="H76" s="31"/>
      <c r="I76" s="26">
        <f>SUM(I77:I78)</f>
        <v>0</v>
      </c>
    </row>
    <row r="77" spans="1:9" x14ac:dyDescent="0.2">
      <c r="A77" s="22" t="s">
        <v>80</v>
      </c>
      <c r="B77" s="32" t="s">
        <v>64</v>
      </c>
      <c r="C77" s="33" t="s">
        <v>65</v>
      </c>
      <c r="D77" s="32" t="s">
        <v>1</v>
      </c>
      <c r="E77" s="101">
        <v>70</v>
      </c>
      <c r="F77" s="34"/>
      <c r="G77" s="35"/>
      <c r="H77" s="35"/>
      <c r="I77" s="16">
        <f>H77*E77</f>
        <v>0</v>
      </c>
    </row>
    <row r="78" spans="1:9" x14ac:dyDescent="0.2">
      <c r="A78" s="22" t="s">
        <v>81</v>
      </c>
      <c r="B78" s="32" t="s">
        <v>66</v>
      </c>
      <c r="C78" s="33" t="s">
        <v>67</v>
      </c>
      <c r="D78" s="32" t="s">
        <v>1</v>
      </c>
      <c r="E78" s="101">
        <v>70</v>
      </c>
      <c r="F78" s="34"/>
      <c r="G78" s="35"/>
      <c r="H78" s="35"/>
      <c r="I78" s="16">
        <f>H78*E78</f>
        <v>0</v>
      </c>
    </row>
    <row r="79" spans="1:9" x14ac:dyDescent="0.2">
      <c r="A79" s="22"/>
      <c r="B79" s="32"/>
      <c r="C79" s="33"/>
      <c r="D79" s="32"/>
      <c r="E79" s="32"/>
      <c r="F79" s="34"/>
      <c r="G79" s="35"/>
      <c r="H79" s="35"/>
      <c r="I79" s="16"/>
    </row>
    <row r="80" spans="1:9" ht="20.100000000000001" customHeight="1" x14ac:dyDescent="0.2">
      <c r="A80" s="170" t="s">
        <v>72</v>
      </c>
      <c r="B80" s="171"/>
      <c r="C80" s="171"/>
      <c r="D80" s="171"/>
      <c r="E80" s="171"/>
      <c r="F80" s="171"/>
      <c r="G80" s="171"/>
      <c r="H80" s="172"/>
      <c r="I80" s="71">
        <f>I76+I73+I69+I59+I49+I41</f>
        <v>0</v>
      </c>
    </row>
    <row r="81" spans="1:10" x14ac:dyDescent="0.2">
      <c r="A81" s="22"/>
      <c r="B81" s="32"/>
      <c r="C81" s="36"/>
      <c r="D81" s="32"/>
      <c r="E81" s="47"/>
      <c r="F81" s="34"/>
      <c r="G81" s="35"/>
      <c r="H81" s="35"/>
      <c r="I81" s="16"/>
    </row>
    <row r="82" spans="1:10" ht="20.100000000000001" customHeight="1" x14ac:dyDescent="0.2">
      <c r="A82" s="173" t="s">
        <v>94</v>
      </c>
      <c r="B82" s="174"/>
      <c r="C82" s="174"/>
      <c r="D82" s="174"/>
      <c r="E82" s="174"/>
      <c r="F82" s="174"/>
      <c r="G82" s="174"/>
      <c r="H82" s="174"/>
      <c r="I82" s="175"/>
    </row>
    <row r="83" spans="1:10" x14ac:dyDescent="0.2">
      <c r="A83" s="54">
        <v>1</v>
      </c>
      <c r="B83" s="55"/>
      <c r="C83" s="56" t="s">
        <v>25</v>
      </c>
      <c r="D83" s="57"/>
      <c r="E83" s="58"/>
      <c r="F83" s="59"/>
      <c r="G83" s="59"/>
      <c r="H83" s="60"/>
      <c r="I83" s="61">
        <f>SUM(I84:I90)</f>
        <v>0</v>
      </c>
    </row>
    <row r="84" spans="1:10" ht="30" x14ac:dyDescent="0.2">
      <c r="A84" s="22" t="s">
        <v>0</v>
      </c>
      <c r="B84" s="32" t="s">
        <v>23</v>
      </c>
      <c r="C84" s="33" t="s">
        <v>24</v>
      </c>
      <c r="D84" s="32" t="s">
        <v>1</v>
      </c>
      <c r="E84" s="47">
        <v>80</v>
      </c>
      <c r="F84" s="47"/>
      <c r="G84" s="47"/>
      <c r="H84" s="47"/>
      <c r="I84" s="48">
        <f>H84*E84</f>
        <v>0</v>
      </c>
      <c r="J84" s="28"/>
    </row>
    <row r="85" spans="1:10" x14ac:dyDescent="0.2">
      <c r="A85" s="22" t="s">
        <v>9</v>
      </c>
      <c r="B85" s="32" t="s">
        <v>132</v>
      </c>
      <c r="C85" s="33" t="s">
        <v>133</v>
      </c>
      <c r="D85" s="32" t="s">
        <v>1</v>
      </c>
      <c r="E85" s="47">
        <v>6</v>
      </c>
      <c r="F85" s="34"/>
      <c r="G85" s="35"/>
      <c r="H85" s="35"/>
      <c r="I85" s="48">
        <f>H85*E85</f>
        <v>0</v>
      </c>
      <c r="J85" s="28"/>
    </row>
    <row r="86" spans="1:10" x14ac:dyDescent="0.2">
      <c r="A86" s="22" t="s">
        <v>8</v>
      </c>
      <c r="B86" s="32" t="s">
        <v>86</v>
      </c>
      <c r="C86" s="33" t="s">
        <v>96</v>
      </c>
      <c r="D86" s="32" t="s">
        <v>1</v>
      </c>
      <c r="E86" s="47">
        <v>25</v>
      </c>
      <c r="F86" s="34"/>
      <c r="G86" s="35"/>
      <c r="H86" s="35"/>
      <c r="I86" s="48">
        <f>H86*E86</f>
        <v>0</v>
      </c>
    </row>
    <row r="87" spans="1:10" ht="30" x14ac:dyDescent="0.2">
      <c r="A87" s="22" t="s">
        <v>15</v>
      </c>
      <c r="B87" s="32" t="s">
        <v>62</v>
      </c>
      <c r="C87" s="33" t="s">
        <v>63</v>
      </c>
      <c r="D87" s="32" t="s">
        <v>3</v>
      </c>
      <c r="E87" s="47">
        <v>1</v>
      </c>
      <c r="F87" s="34"/>
      <c r="G87" s="35"/>
      <c r="H87" s="35"/>
      <c r="I87" s="48">
        <f t="shared" ref="I87:I90" si="6">H87*E87</f>
        <v>0</v>
      </c>
    </row>
    <row r="88" spans="1:10" x14ac:dyDescent="0.2">
      <c r="A88" s="22" t="s">
        <v>16</v>
      </c>
      <c r="B88" s="32" t="s">
        <v>97</v>
      </c>
      <c r="C88" s="33" t="s">
        <v>98</v>
      </c>
      <c r="D88" s="32" t="s">
        <v>3</v>
      </c>
      <c r="E88" s="47">
        <v>2</v>
      </c>
      <c r="F88" s="34"/>
      <c r="G88" s="35"/>
      <c r="H88" s="35"/>
      <c r="I88" s="48">
        <f t="shared" si="6"/>
        <v>0</v>
      </c>
    </row>
    <row r="89" spans="1:10" x14ac:dyDescent="0.2">
      <c r="A89" s="22" t="s">
        <v>99</v>
      </c>
      <c r="B89" s="32" t="s">
        <v>68</v>
      </c>
      <c r="C89" s="33" t="s">
        <v>69</v>
      </c>
      <c r="D89" s="32" t="s">
        <v>2</v>
      </c>
      <c r="E89" s="47">
        <v>3</v>
      </c>
      <c r="F89" s="34"/>
      <c r="G89" s="35"/>
      <c r="H89" s="35"/>
      <c r="I89" s="48">
        <f t="shared" si="6"/>
        <v>0</v>
      </c>
    </row>
    <row r="90" spans="1:10" x14ac:dyDescent="0.2">
      <c r="A90" s="22" t="s">
        <v>121</v>
      </c>
      <c r="B90" s="32" t="s">
        <v>70</v>
      </c>
      <c r="C90" s="33" t="s">
        <v>71</v>
      </c>
      <c r="D90" s="32" t="s">
        <v>2</v>
      </c>
      <c r="E90" s="47">
        <v>3</v>
      </c>
      <c r="F90" s="34"/>
      <c r="G90" s="35"/>
      <c r="H90" s="35"/>
      <c r="I90" s="48">
        <f t="shared" si="6"/>
        <v>0</v>
      </c>
    </row>
    <row r="91" spans="1:10" x14ac:dyDescent="0.2">
      <c r="A91" s="22"/>
      <c r="B91" s="32"/>
      <c r="C91" s="33"/>
      <c r="D91" s="32"/>
      <c r="E91" s="47"/>
      <c r="F91" s="47"/>
      <c r="G91" s="47"/>
      <c r="H91" s="47"/>
      <c r="I91" s="48"/>
    </row>
    <row r="92" spans="1:10" x14ac:dyDescent="0.2">
      <c r="A92" s="54">
        <v>2</v>
      </c>
      <c r="B92" s="55"/>
      <c r="C92" s="56" t="s">
        <v>95</v>
      </c>
      <c r="D92" s="57"/>
      <c r="E92" s="100"/>
      <c r="F92" s="59"/>
      <c r="G92" s="59"/>
      <c r="H92" s="60"/>
      <c r="I92" s="61">
        <f>SUM(I95:I101)</f>
        <v>0</v>
      </c>
    </row>
    <row r="93" spans="1:10" x14ac:dyDescent="0.2">
      <c r="A93" s="22" t="s">
        <v>5</v>
      </c>
      <c r="B93" s="32" t="s">
        <v>31</v>
      </c>
      <c r="C93" s="33" t="s">
        <v>32</v>
      </c>
      <c r="D93" s="32" t="s">
        <v>2</v>
      </c>
      <c r="E93" s="101">
        <v>136</v>
      </c>
      <c r="F93" s="34"/>
      <c r="G93" s="35"/>
      <c r="H93" s="35"/>
      <c r="I93" s="91">
        <f t="shared" ref="I93" si="7">H93*E93</f>
        <v>0</v>
      </c>
    </row>
    <row r="94" spans="1:10" x14ac:dyDescent="0.2">
      <c r="A94" s="22" t="s">
        <v>6</v>
      </c>
      <c r="B94" s="32" t="s">
        <v>123</v>
      </c>
      <c r="C94" s="33" t="s">
        <v>124</v>
      </c>
      <c r="D94" s="32" t="s">
        <v>2</v>
      </c>
      <c r="E94" s="101">
        <v>2</v>
      </c>
      <c r="F94" s="34"/>
      <c r="G94" s="35"/>
      <c r="H94" s="35"/>
      <c r="I94" s="91">
        <f>H94*E94</f>
        <v>0</v>
      </c>
    </row>
    <row r="95" spans="1:10" x14ac:dyDescent="0.2">
      <c r="A95" s="22" t="s">
        <v>7</v>
      </c>
      <c r="B95" s="32" t="s">
        <v>125</v>
      </c>
      <c r="C95" s="33" t="s">
        <v>126</v>
      </c>
      <c r="D95" s="32" t="s">
        <v>2</v>
      </c>
      <c r="E95" s="101">
        <v>14</v>
      </c>
      <c r="F95" s="34"/>
      <c r="G95" s="35"/>
      <c r="H95" s="35"/>
      <c r="I95" s="91">
        <f t="shared" ref="I95:I99" si="8">H95*E95</f>
        <v>0</v>
      </c>
    </row>
    <row r="96" spans="1:10" x14ac:dyDescent="0.2">
      <c r="A96" s="22" t="s">
        <v>73</v>
      </c>
      <c r="B96" s="92" t="s">
        <v>127</v>
      </c>
      <c r="C96" s="93" t="s">
        <v>128</v>
      </c>
      <c r="D96" s="92" t="s">
        <v>2</v>
      </c>
      <c r="E96" s="102">
        <v>14</v>
      </c>
      <c r="F96" s="94"/>
      <c r="G96" s="95"/>
      <c r="H96" s="95"/>
      <c r="I96" s="91">
        <f t="shared" si="8"/>
        <v>0</v>
      </c>
    </row>
    <row r="97" spans="1:9" x14ac:dyDescent="0.2">
      <c r="A97" s="22" t="s">
        <v>74</v>
      </c>
      <c r="B97" s="92" t="s">
        <v>39</v>
      </c>
      <c r="C97" s="93" t="s">
        <v>40</v>
      </c>
      <c r="D97" s="92" t="s">
        <v>41</v>
      </c>
      <c r="E97" s="102">
        <v>1320</v>
      </c>
      <c r="F97" s="94"/>
      <c r="G97" s="95"/>
      <c r="H97" s="95"/>
      <c r="I97" s="91">
        <f t="shared" si="8"/>
        <v>0</v>
      </c>
    </row>
    <row r="98" spans="1:9" x14ac:dyDescent="0.2">
      <c r="A98" s="22" t="s">
        <v>75</v>
      </c>
      <c r="B98" s="92" t="s">
        <v>37</v>
      </c>
      <c r="C98" s="93" t="s">
        <v>38</v>
      </c>
      <c r="D98" s="92" t="s">
        <v>1</v>
      </c>
      <c r="E98" s="102">
        <v>97</v>
      </c>
      <c r="F98" s="94"/>
      <c r="G98" s="95"/>
      <c r="H98" s="95"/>
      <c r="I98" s="91">
        <f t="shared" si="8"/>
        <v>0</v>
      </c>
    </row>
    <row r="99" spans="1:9" x14ac:dyDescent="0.2">
      <c r="A99" s="22" t="s">
        <v>122</v>
      </c>
      <c r="B99" s="32" t="s">
        <v>129</v>
      </c>
      <c r="C99" s="33" t="s">
        <v>130</v>
      </c>
      <c r="D99" s="32" t="s">
        <v>2</v>
      </c>
      <c r="E99" s="101">
        <v>120</v>
      </c>
      <c r="F99" s="34"/>
      <c r="G99" s="35"/>
      <c r="H99" s="35"/>
      <c r="I99" s="91">
        <f t="shared" si="8"/>
        <v>0</v>
      </c>
    </row>
    <row r="100" spans="1:9" x14ac:dyDescent="0.2">
      <c r="A100" s="22"/>
      <c r="B100" s="92"/>
      <c r="C100" s="93"/>
      <c r="D100" s="92"/>
      <c r="E100" s="102"/>
      <c r="F100" s="94"/>
      <c r="G100" s="95"/>
      <c r="H100" s="95"/>
      <c r="I100" s="96"/>
    </row>
    <row r="101" spans="1:9" x14ac:dyDescent="0.2">
      <c r="A101" s="22"/>
      <c r="B101" s="32"/>
      <c r="C101" s="33"/>
      <c r="D101" s="32"/>
      <c r="E101" s="101"/>
      <c r="F101" s="34"/>
      <c r="G101" s="35"/>
      <c r="H101" s="35"/>
      <c r="I101" s="16"/>
    </row>
    <row r="102" spans="1:9" x14ac:dyDescent="0.2">
      <c r="A102" s="22"/>
      <c r="B102" s="32"/>
      <c r="C102" s="36"/>
      <c r="D102" s="49"/>
      <c r="E102" s="103"/>
      <c r="F102" s="43"/>
      <c r="G102" s="44"/>
      <c r="H102" s="50"/>
      <c r="I102" s="16"/>
    </row>
    <row r="103" spans="1:9" x14ac:dyDescent="0.2">
      <c r="A103" s="21">
        <v>3</v>
      </c>
      <c r="B103" s="20"/>
      <c r="C103" s="29" t="s">
        <v>100</v>
      </c>
      <c r="D103" s="38"/>
      <c r="E103" s="104"/>
      <c r="F103" s="30"/>
      <c r="G103" s="30"/>
      <c r="H103" s="31"/>
      <c r="I103" s="26">
        <f>SUM(I104:I107)</f>
        <v>0</v>
      </c>
    </row>
    <row r="104" spans="1:9" x14ac:dyDescent="0.2">
      <c r="A104" s="22" t="s">
        <v>46</v>
      </c>
      <c r="B104" s="32" t="s">
        <v>105</v>
      </c>
      <c r="C104" s="33" t="s">
        <v>106</v>
      </c>
      <c r="D104" s="32" t="s">
        <v>2</v>
      </c>
      <c r="E104" s="47">
        <v>6.75</v>
      </c>
      <c r="F104" s="34"/>
      <c r="G104" s="35"/>
      <c r="H104" s="35"/>
      <c r="I104" s="16">
        <f>H104*E104</f>
        <v>0</v>
      </c>
    </row>
    <row r="105" spans="1:9" x14ac:dyDescent="0.2">
      <c r="A105" s="22" t="s">
        <v>76</v>
      </c>
      <c r="B105" s="62" t="s">
        <v>49</v>
      </c>
      <c r="C105" s="63" t="s">
        <v>50</v>
      </c>
      <c r="D105" s="64" t="s">
        <v>51</v>
      </c>
      <c r="E105" s="105">
        <v>44</v>
      </c>
      <c r="F105" s="34"/>
      <c r="G105" s="35"/>
      <c r="H105" s="35"/>
      <c r="I105" s="16">
        <f t="shared" ref="I105:I107" si="9">H105*E105</f>
        <v>0</v>
      </c>
    </row>
    <row r="106" spans="1:9" x14ac:dyDescent="0.2">
      <c r="A106" s="22" t="s">
        <v>78</v>
      </c>
      <c r="B106" s="62" t="s">
        <v>57</v>
      </c>
      <c r="C106" s="63" t="s">
        <v>58</v>
      </c>
      <c r="D106" s="64" t="s">
        <v>51</v>
      </c>
      <c r="E106" s="105">
        <v>44</v>
      </c>
      <c r="F106" s="34"/>
      <c r="G106" s="35"/>
      <c r="H106" s="35"/>
      <c r="I106" s="16">
        <f t="shared" si="9"/>
        <v>0</v>
      </c>
    </row>
    <row r="107" spans="1:9" x14ac:dyDescent="0.2">
      <c r="A107" s="22"/>
      <c r="B107" s="32" t="s">
        <v>84</v>
      </c>
      <c r="C107" s="33" t="s">
        <v>85</v>
      </c>
      <c r="D107" s="32" t="s">
        <v>4</v>
      </c>
      <c r="E107" s="105">
        <v>20</v>
      </c>
      <c r="F107" s="34"/>
      <c r="G107" s="35"/>
      <c r="H107" s="35"/>
      <c r="I107" s="16">
        <f t="shared" si="9"/>
        <v>0</v>
      </c>
    </row>
    <row r="108" spans="1:9" x14ac:dyDescent="0.2">
      <c r="A108" s="22"/>
      <c r="B108" s="32"/>
      <c r="C108" s="36"/>
      <c r="D108" s="49"/>
      <c r="E108" s="107"/>
      <c r="F108" s="43"/>
      <c r="G108" s="44"/>
      <c r="H108" s="50"/>
      <c r="I108" s="16"/>
    </row>
    <row r="109" spans="1:9" x14ac:dyDescent="0.2">
      <c r="A109" s="21">
        <v>3</v>
      </c>
      <c r="B109" s="20"/>
      <c r="C109" s="29" t="s">
        <v>101</v>
      </c>
      <c r="D109" s="38"/>
      <c r="E109" s="104"/>
      <c r="F109" s="30"/>
      <c r="G109" s="30"/>
      <c r="H109" s="31"/>
      <c r="I109" s="26">
        <f>SUM(I110:I117)</f>
        <v>0</v>
      </c>
    </row>
    <row r="110" spans="1:9" x14ac:dyDescent="0.2">
      <c r="A110" s="22" t="s">
        <v>45</v>
      </c>
      <c r="B110" s="32" t="s">
        <v>44</v>
      </c>
      <c r="C110" s="33" t="s">
        <v>52</v>
      </c>
      <c r="D110" s="32" t="s">
        <v>3</v>
      </c>
      <c r="E110" s="47">
        <v>150</v>
      </c>
      <c r="F110" s="34"/>
      <c r="G110" s="35"/>
      <c r="H110" s="35"/>
      <c r="I110" s="16">
        <f>H110*E110</f>
        <v>0</v>
      </c>
    </row>
    <row r="111" spans="1:9" x14ac:dyDescent="0.2">
      <c r="A111" s="22" t="s">
        <v>46</v>
      </c>
      <c r="B111" s="32" t="s">
        <v>44</v>
      </c>
      <c r="C111" s="33" t="s">
        <v>53</v>
      </c>
      <c r="D111" s="32" t="s">
        <v>3</v>
      </c>
      <c r="E111" s="47">
        <v>8</v>
      </c>
      <c r="F111" s="34"/>
      <c r="G111" s="35"/>
      <c r="H111" s="35"/>
      <c r="I111" s="16">
        <f>H111*E111</f>
        <v>0</v>
      </c>
    </row>
    <row r="112" spans="1:9" x14ac:dyDescent="0.2">
      <c r="A112" s="22" t="s">
        <v>47</v>
      </c>
      <c r="B112" s="32" t="s">
        <v>44</v>
      </c>
      <c r="C112" s="33" t="s">
        <v>54</v>
      </c>
      <c r="D112" s="32" t="s">
        <v>3</v>
      </c>
      <c r="E112" s="47">
        <v>20</v>
      </c>
      <c r="F112" s="34"/>
      <c r="G112" s="35"/>
      <c r="H112" s="35"/>
      <c r="I112" s="16">
        <f>H112*E112</f>
        <v>0</v>
      </c>
    </row>
    <row r="113" spans="1:9" x14ac:dyDescent="0.2">
      <c r="A113" s="22" t="s">
        <v>76</v>
      </c>
      <c r="B113" s="62" t="s">
        <v>49</v>
      </c>
      <c r="C113" s="63" t="s">
        <v>50</v>
      </c>
      <c r="D113" s="64" t="s">
        <v>51</v>
      </c>
      <c r="E113" s="105">
        <v>20</v>
      </c>
      <c r="F113" s="34"/>
      <c r="G113" s="35"/>
      <c r="H113" s="35"/>
      <c r="I113" s="16">
        <f t="shared" ref="I113:I116" si="10">H113*E113</f>
        <v>0</v>
      </c>
    </row>
    <row r="114" spans="1:9" x14ac:dyDescent="0.2">
      <c r="A114" s="22" t="s">
        <v>77</v>
      </c>
      <c r="B114" s="62" t="s">
        <v>55</v>
      </c>
      <c r="C114" s="63" t="s">
        <v>56</v>
      </c>
      <c r="D114" s="64" t="s">
        <v>51</v>
      </c>
      <c r="E114" s="105">
        <v>20</v>
      </c>
      <c r="F114" s="34"/>
      <c r="G114" s="35"/>
      <c r="H114" s="35"/>
      <c r="I114" s="16">
        <f t="shared" si="10"/>
        <v>0</v>
      </c>
    </row>
    <row r="115" spans="1:9" x14ac:dyDescent="0.2">
      <c r="A115" s="22" t="s">
        <v>78</v>
      </c>
      <c r="B115" s="62" t="s">
        <v>57</v>
      </c>
      <c r="C115" s="63" t="s">
        <v>58</v>
      </c>
      <c r="D115" s="64" t="s">
        <v>51</v>
      </c>
      <c r="E115" s="105">
        <v>20</v>
      </c>
      <c r="F115" s="34"/>
      <c r="G115" s="35"/>
      <c r="H115" s="35"/>
      <c r="I115" s="16">
        <f t="shared" si="10"/>
        <v>0</v>
      </c>
    </row>
    <row r="116" spans="1:9" x14ac:dyDescent="0.2">
      <c r="A116" s="22"/>
      <c r="B116" s="32" t="s">
        <v>84</v>
      </c>
      <c r="C116" s="33" t="s">
        <v>85</v>
      </c>
      <c r="D116" s="32" t="s">
        <v>4</v>
      </c>
      <c r="E116" s="105">
        <v>50</v>
      </c>
      <c r="F116" s="34"/>
      <c r="G116" s="35"/>
      <c r="H116" s="35"/>
      <c r="I116" s="16">
        <f t="shared" si="10"/>
        <v>0</v>
      </c>
    </row>
    <row r="117" spans="1:9" x14ac:dyDescent="0.2">
      <c r="A117" s="22"/>
      <c r="B117" s="32"/>
      <c r="C117" s="36"/>
      <c r="D117" s="49"/>
      <c r="E117" s="107"/>
      <c r="F117" s="43"/>
      <c r="G117" s="44"/>
      <c r="H117" s="50"/>
      <c r="I117" s="16"/>
    </row>
    <row r="118" spans="1:9" x14ac:dyDescent="0.2">
      <c r="A118" s="22"/>
      <c r="B118" s="32"/>
      <c r="C118" s="36"/>
      <c r="D118" s="49"/>
      <c r="E118" s="103"/>
      <c r="F118" s="43"/>
      <c r="G118" s="44"/>
      <c r="H118" s="50"/>
      <c r="I118" s="16"/>
    </row>
    <row r="119" spans="1:9" x14ac:dyDescent="0.2">
      <c r="A119" s="21">
        <v>3</v>
      </c>
      <c r="B119" s="20"/>
      <c r="C119" s="29" t="s">
        <v>102</v>
      </c>
      <c r="D119" s="38"/>
      <c r="E119" s="104"/>
      <c r="F119" s="30"/>
      <c r="G119" s="30"/>
      <c r="H119" s="31"/>
      <c r="I119" s="26">
        <f>SUM(I120:I124)</f>
        <v>0</v>
      </c>
    </row>
    <row r="120" spans="1:9" x14ac:dyDescent="0.2">
      <c r="A120" s="22"/>
      <c r="B120" s="32" t="s">
        <v>103</v>
      </c>
      <c r="C120" s="33" t="s">
        <v>104</v>
      </c>
      <c r="D120" s="32" t="s">
        <v>1</v>
      </c>
      <c r="E120" s="105">
        <v>15</v>
      </c>
      <c r="F120" s="34"/>
      <c r="G120" s="35"/>
      <c r="H120" s="35"/>
      <c r="I120" s="16">
        <f>H120*E120</f>
        <v>0</v>
      </c>
    </row>
    <row r="121" spans="1:9" x14ac:dyDescent="0.2">
      <c r="A121" s="22" t="s">
        <v>46</v>
      </c>
      <c r="B121" s="32" t="s">
        <v>44</v>
      </c>
      <c r="C121" s="33" t="s">
        <v>54</v>
      </c>
      <c r="D121" s="32" t="s">
        <v>3</v>
      </c>
      <c r="E121" s="47">
        <v>50</v>
      </c>
      <c r="F121" s="34"/>
      <c r="G121" s="35"/>
      <c r="H121" s="35"/>
      <c r="I121" s="16">
        <f>H121*E121</f>
        <v>0</v>
      </c>
    </row>
    <row r="122" spans="1:9" x14ac:dyDescent="0.2">
      <c r="A122" s="22" t="s">
        <v>76</v>
      </c>
      <c r="B122" s="62" t="s">
        <v>49</v>
      </c>
      <c r="C122" s="63" t="s">
        <v>50</v>
      </c>
      <c r="D122" s="64" t="s">
        <v>51</v>
      </c>
      <c r="E122" s="105">
        <v>20</v>
      </c>
      <c r="F122" s="34"/>
      <c r="G122" s="35"/>
      <c r="H122" s="35"/>
      <c r="I122" s="16">
        <f t="shared" ref="I122:I124" si="11">H122*E122</f>
        <v>0</v>
      </c>
    </row>
    <row r="123" spans="1:9" x14ac:dyDescent="0.2">
      <c r="A123" s="22" t="s">
        <v>77</v>
      </c>
      <c r="B123" s="62" t="s">
        <v>55</v>
      </c>
      <c r="C123" s="63" t="s">
        <v>56</v>
      </c>
      <c r="D123" s="64" t="s">
        <v>51</v>
      </c>
      <c r="E123" s="105">
        <v>20</v>
      </c>
      <c r="F123" s="34"/>
      <c r="G123" s="35"/>
      <c r="H123" s="35"/>
      <c r="I123" s="16">
        <f t="shared" si="11"/>
        <v>0</v>
      </c>
    </row>
    <row r="124" spans="1:9" x14ac:dyDescent="0.2">
      <c r="A124" s="22" t="s">
        <v>78</v>
      </c>
      <c r="B124" s="62" t="s">
        <v>57</v>
      </c>
      <c r="C124" s="63" t="s">
        <v>58</v>
      </c>
      <c r="D124" s="64" t="s">
        <v>51</v>
      </c>
      <c r="E124" s="105">
        <v>20</v>
      </c>
      <c r="F124" s="34"/>
      <c r="G124" s="35"/>
      <c r="H124" s="35"/>
      <c r="I124" s="16">
        <f t="shared" si="11"/>
        <v>0</v>
      </c>
    </row>
    <row r="125" spans="1:9" x14ac:dyDescent="0.2">
      <c r="A125" s="22"/>
      <c r="B125" s="32"/>
      <c r="C125" s="36"/>
      <c r="D125" s="49"/>
      <c r="E125" s="107"/>
      <c r="F125" s="43"/>
      <c r="G125" s="44"/>
      <c r="H125" s="50"/>
      <c r="I125" s="16"/>
    </row>
    <row r="126" spans="1:9" x14ac:dyDescent="0.2">
      <c r="A126" s="21">
        <v>4</v>
      </c>
      <c r="B126" s="20"/>
      <c r="C126" s="29" t="s">
        <v>59</v>
      </c>
      <c r="D126" s="38"/>
      <c r="E126" s="104"/>
      <c r="F126" s="30"/>
      <c r="G126" s="30"/>
      <c r="H126" s="31"/>
      <c r="I126" s="26">
        <f>SUM(I127:I129)</f>
        <v>0</v>
      </c>
    </row>
    <row r="127" spans="1:9" ht="30" x14ac:dyDescent="0.2">
      <c r="A127" s="22" t="s">
        <v>79</v>
      </c>
      <c r="B127" s="32" t="s">
        <v>60</v>
      </c>
      <c r="C127" s="33" t="s">
        <v>61</v>
      </c>
      <c r="D127" s="32" t="s">
        <v>41</v>
      </c>
      <c r="E127" s="105">
        <v>50</v>
      </c>
      <c r="F127" s="34"/>
      <c r="G127" s="35"/>
      <c r="H127" s="35"/>
      <c r="I127" s="16">
        <f>H127*E127</f>
        <v>0</v>
      </c>
    </row>
    <row r="128" spans="1:9" x14ac:dyDescent="0.2">
      <c r="A128" s="22"/>
      <c r="B128" s="32"/>
      <c r="C128" s="36"/>
      <c r="D128" s="32"/>
      <c r="E128" s="47"/>
      <c r="F128" s="34"/>
      <c r="G128" s="35"/>
      <c r="H128" s="35"/>
      <c r="I128" s="16"/>
    </row>
    <row r="129" spans="1:9" x14ac:dyDescent="0.2">
      <c r="A129" s="21">
        <v>5</v>
      </c>
      <c r="B129" s="20"/>
      <c r="C129" s="29" t="s">
        <v>43</v>
      </c>
      <c r="D129" s="38"/>
      <c r="E129" s="104"/>
      <c r="F129" s="30"/>
      <c r="G129" s="30"/>
      <c r="H129" s="31"/>
      <c r="I129" s="26">
        <f>SUM(I130:I131)</f>
        <v>0</v>
      </c>
    </row>
    <row r="130" spans="1:9" x14ac:dyDescent="0.2">
      <c r="A130" s="22" t="s">
        <v>80</v>
      </c>
      <c r="B130" s="32" t="s">
        <v>64</v>
      </c>
      <c r="C130" s="33" t="s">
        <v>65</v>
      </c>
      <c r="D130" s="32" t="s">
        <v>1</v>
      </c>
      <c r="E130" s="105">
        <v>250</v>
      </c>
      <c r="F130" s="34"/>
      <c r="G130" s="35"/>
      <c r="H130" s="35"/>
      <c r="I130" s="16">
        <f>H130*E130</f>
        <v>0</v>
      </c>
    </row>
    <row r="131" spans="1:9" x14ac:dyDescent="0.2">
      <c r="A131" s="22" t="s">
        <v>81</v>
      </c>
      <c r="B131" s="32" t="s">
        <v>66</v>
      </c>
      <c r="C131" s="33" t="s">
        <v>67</v>
      </c>
      <c r="D131" s="32" t="s">
        <v>1</v>
      </c>
      <c r="E131" s="105">
        <v>250</v>
      </c>
      <c r="F131" s="34"/>
      <c r="G131" s="35"/>
      <c r="H131" s="35"/>
      <c r="I131" s="16">
        <f>H131*E131</f>
        <v>0</v>
      </c>
    </row>
    <row r="132" spans="1:9" x14ac:dyDescent="0.2">
      <c r="A132" s="22"/>
      <c r="B132" s="32"/>
      <c r="C132" s="33"/>
      <c r="D132" s="32"/>
      <c r="E132" s="101"/>
      <c r="F132" s="34"/>
      <c r="G132" s="35"/>
      <c r="H132" s="35"/>
      <c r="I132" s="16"/>
    </row>
    <row r="133" spans="1:9" ht="20.100000000000001" customHeight="1" x14ac:dyDescent="0.2">
      <c r="A133" s="170" t="s">
        <v>72</v>
      </c>
      <c r="B133" s="171"/>
      <c r="C133" s="171"/>
      <c r="D133" s="171"/>
      <c r="E133" s="171"/>
      <c r="F133" s="171"/>
      <c r="G133" s="171"/>
      <c r="H133" s="172"/>
      <c r="I133" s="71">
        <f>I129+I126+I119+I109+I103+I92+I83</f>
        <v>0</v>
      </c>
    </row>
    <row r="134" spans="1:9" x14ac:dyDescent="0.2">
      <c r="A134" s="22"/>
      <c r="B134" s="32"/>
      <c r="C134" s="36"/>
      <c r="D134" s="32"/>
      <c r="E134" s="47"/>
      <c r="F134" s="34"/>
      <c r="G134" s="35"/>
      <c r="H134" s="35"/>
      <c r="I134" s="16"/>
    </row>
    <row r="135" spans="1:9" x14ac:dyDescent="0.2">
      <c r="A135" s="158" t="s">
        <v>13</v>
      </c>
      <c r="B135" s="158"/>
      <c r="C135" s="158"/>
      <c r="D135" s="158"/>
      <c r="E135" s="158"/>
      <c r="F135" s="158"/>
      <c r="G135" s="158"/>
      <c r="H135" s="158"/>
      <c r="I135" s="149">
        <f>SUM(I133,I80,I38)</f>
        <v>0</v>
      </c>
    </row>
    <row r="136" spans="1:9" x14ac:dyDescent="0.2">
      <c r="A136" s="158" t="s">
        <v>27</v>
      </c>
      <c r="B136" s="158"/>
      <c r="C136" s="158"/>
      <c r="D136" s="158"/>
      <c r="E136" s="158"/>
      <c r="F136" s="158"/>
      <c r="G136" s="158"/>
      <c r="H136" s="158"/>
      <c r="I136" s="149">
        <f>I135*0.1</f>
        <v>0</v>
      </c>
    </row>
    <row r="137" spans="1:9" x14ac:dyDescent="0.2">
      <c r="A137" s="158" t="s">
        <v>22</v>
      </c>
      <c r="B137" s="158"/>
      <c r="C137" s="158"/>
      <c r="D137" s="158"/>
      <c r="E137" s="158"/>
      <c r="F137" s="158"/>
      <c r="G137" s="158"/>
      <c r="H137" s="158"/>
      <c r="I137" s="149">
        <f>I135*0.3</f>
        <v>0</v>
      </c>
    </row>
    <row r="138" spans="1:9" x14ac:dyDescent="0.2">
      <c r="A138" s="158" t="s">
        <v>26</v>
      </c>
      <c r="B138" s="158"/>
      <c r="C138" s="158"/>
      <c r="D138" s="158"/>
      <c r="E138" s="158"/>
      <c r="F138" s="158"/>
      <c r="G138" s="158"/>
      <c r="H138" s="158"/>
      <c r="I138" s="149">
        <f>SUM(I135:I137)</f>
        <v>0</v>
      </c>
    </row>
    <row r="139" spans="1:9" x14ac:dyDescent="0.2">
      <c r="I139" s="27" t="s">
        <v>172</v>
      </c>
    </row>
  </sheetData>
  <mergeCells count="10">
    <mergeCell ref="A2:I2"/>
    <mergeCell ref="A38:H38"/>
    <mergeCell ref="A40:I40"/>
    <mergeCell ref="A80:H80"/>
    <mergeCell ref="A82:I82"/>
    <mergeCell ref="A138:H138"/>
    <mergeCell ref="A137:H137"/>
    <mergeCell ref="A135:H135"/>
    <mergeCell ref="A136:H136"/>
    <mergeCell ref="A133:H133"/>
  </mergeCells>
  <printOptions horizontalCentered="1"/>
  <pageMargins left="0.19685039370078741" right="0.19685039370078741" top="1.3779527559055118" bottom="0.98425196850393704" header="0.39370078740157483" footer="0.19685039370078741"/>
  <pageSetup paperSize="9" scale="63" fitToHeight="0" orientation="landscape" r:id="rId1"/>
  <headerFooter>
    <oddHeader>&amp;L&amp;G&amp;C&amp;"Ecofont Vera Sans,Regular"&amp;14AVISTAMENTO DE AVES
UCS DIVERSAS
EQUIPAMENTOS &amp;R&amp;"Ecofont Vera Sans,Regular"&amp;11
Boletim CPOS 173 - JUL/2018</oddHeader>
    <oddFooter>&amp;C&amp;"Ecofont Vera Sans,Regular"
Av. Professor Frederico Herman Junior, 345 - Pinheiros - 05.459-010 São Paulo
(11) 2997-5000 - www.fflorestal.sp.gov.br&amp;R&amp;"Ecofont Vera Sans,Negrito"Página 0&amp;P de 0&amp;N</oddFooter>
  </headerFooter>
  <rowBreaks count="3" manualBreakCount="3">
    <brk id="39" max="8" man="1"/>
    <brk id="80" max="8" man="1"/>
    <brk id="124" max="8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Cronograma</vt:lpstr>
      <vt:lpstr>Equipamento por unidade</vt:lpstr>
      <vt:lpstr>Custo por equipamento</vt:lpstr>
      <vt:lpstr>Cronograma!Area_de_impressao</vt:lpstr>
      <vt:lpstr>'Custo por equipamento'!Area_de_impressao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serra do mar</dc:title>
  <dc:subject>CV - orçamento</dc:subject>
  <dc:creator>Rai Ferreira</dc:creator>
  <cp:lastModifiedBy>Markus Vinicius Trevisan</cp:lastModifiedBy>
  <cp:lastPrinted>2018-12-12T11:15:41Z</cp:lastPrinted>
  <dcterms:created xsi:type="dcterms:W3CDTF">1998-09-28T13:48:05Z</dcterms:created>
  <dcterms:modified xsi:type="dcterms:W3CDTF">2018-12-12T11:40:13Z</dcterms:modified>
</cp:coreProperties>
</file>