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980" yWindow="15" windowWidth="7320" windowHeight="8895" tabRatio="746" activeTab="0"/>
  </bookViews>
  <sheets>
    <sheet name="cronog" sheetId="1" r:id="rId1"/>
    <sheet name="implant" sheetId="2" r:id="rId2"/>
    <sheet name="est. concreto" sheetId="3" r:id="rId3"/>
    <sheet name="est. madeira " sheetId="4" r:id="rId4"/>
    <sheet name="arquit" sheetId="5" r:id="rId5"/>
    <sheet name="agua-fria" sheetId="6" r:id="rId6"/>
    <sheet name="esgoto" sheetId="7" r:id="rId7"/>
    <sheet name="eletrica" sheetId="8" r:id="rId8"/>
    <sheet name="apluv" sheetId="9" r:id="rId9"/>
    <sheet name="paisag" sheetId="10" r:id="rId10"/>
  </sheets>
  <definedNames>
    <definedName name="_xlnm.Print_Area" localSheetId="5">'agua-fria'!$A$1:$J$34</definedName>
    <definedName name="_xlnm.Print_Area" localSheetId="8">'apluv'!$A$1:$J$20</definedName>
    <definedName name="_xlnm.Print_Area" localSheetId="4">'arquit'!$A$1:$J$117</definedName>
    <definedName name="_xlnm.Print_Area" localSheetId="0">'cronog'!$A$1:$R$16</definedName>
    <definedName name="_xlnm.Print_Area" localSheetId="6">'esgoto'!$A$1:$J$30</definedName>
    <definedName name="_xlnm.Print_Area" localSheetId="2">'est. concreto'!$A$1:$J$52</definedName>
    <definedName name="_xlnm.Print_Area" localSheetId="3">'est. madeira '!$A$1:$J$31</definedName>
    <definedName name="_xlnm.Print_Area" localSheetId="1">'implant'!$A$1:$J$40</definedName>
    <definedName name="_xlnm.Print_Area" localSheetId="9">'paisag'!$A$1:$J$41</definedName>
    <definedName name="_xlnm.Print_Titles" localSheetId="5">'agua-fria'!$1:$1</definedName>
    <definedName name="_xlnm.Print_Titles" localSheetId="8">'apluv'!$1:$1</definedName>
    <definedName name="_xlnm.Print_Titles" localSheetId="4">'arquit'!$1:$1</definedName>
    <definedName name="_xlnm.Print_Titles" localSheetId="0">'cronog'!$1:$2</definedName>
    <definedName name="_xlnm.Print_Titles" localSheetId="7">'eletrica'!$1:$1</definedName>
    <definedName name="_xlnm.Print_Titles" localSheetId="6">'esgoto'!$1:$1</definedName>
    <definedName name="_xlnm.Print_Titles" localSheetId="2">'est. concreto'!$1:$1</definedName>
    <definedName name="_xlnm.Print_Titles" localSheetId="3">'est. madeira '!$1:$1</definedName>
    <definedName name="_xlnm.Print_Titles" localSheetId="1">'implant'!$1:$1</definedName>
    <definedName name="_xlnm.Print_Titles" localSheetId="9">'paisag'!$1:$1</definedName>
  </definedNames>
  <calcPr fullCalcOnLoad="1"/>
</workbook>
</file>

<file path=xl/sharedStrings.xml><?xml version="1.0" encoding="utf-8"?>
<sst xmlns="http://schemas.openxmlformats.org/spreadsheetml/2006/main" count="982" uniqueCount="521">
  <si>
    <t>ITEM</t>
  </si>
  <si>
    <t>SUB-ITEM</t>
  </si>
  <si>
    <t>UN.</t>
  </si>
  <si>
    <t>QUANT.</t>
  </si>
  <si>
    <t>1.1</t>
  </si>
  <si>
    <t xml:space="preserve"> </t>
  </si>
  <si>
    <t>vb</t>
  </si>
  <si>
    <t>m²</t>
  </si>
  <si>
    <t>3.1</t>
  </si>
  <si>
    <t>m³</t>
  </si>
  <si>
    <t>5.1</t>
  </si>
  <si>
    <t>5.2</t>
  </si>
  <si>
    <t>un</t>
  </si>
  <si>
    <t>m</t>
  </si>
  <si>
    <t>6.1</t>
  </si>
  <si>
    <t>6.3</t>
  </si>
  <si>
    <t>7.1</t>
  </si>
  <si>
    <t>8.1</t>
  </si>
  <si>
    <t>10.1</t>
  </si>
  <si>
    <t>11.1</t>
  </si>
  <si>
    <t>12.1</t>
  </si>
  <si>
    <t>LIMPEZA FINAL DA OBRA</t>
  </si>
  <si>
    <t>P.U.MAT.</t>
  </si>
  <si>
    <t>P.U.M.O.</t>
  </si>
  <si>
    <t>P. TOTAL</t>
  </si>
  <si>
    <t>2.1</t>
  </si>
  <si>
    <t>2.2</t>
  </si>
  <si>
    <t>2.3</t>
  </si>
  <si>
    <t>kg</t>
  </si>
  <si>
    <t>1.3</t>
  </si>
  <si>
    <t>1.2</t>
  </si>
  <si>
    <t>6.2</t>
  </si>
  <si>
    <t>TOTAL</t>
  </si>
  <si>
    <t>mês 1</t>
  </si>
  <si>
    <t>mês 2</t>
  </si>
  <si>
    <t>mês 3</t>
  </si>
  <si>
    <t>mês 4</t>
  </si>
  <si>
    <t>Custo por etapa</t>
  </si>
  <si>
    <t>P.TOTAL</t>
  </si>
  <si>
    <t>Mobilização</t>
  </si>
  <si>
    <t>Desmobilização</t>
  </si>
  <si>
    <t>4.1</t>
  </si>
  <si>
    <t>11.2</t>
  </si>
  <si>
    <t>Limpeza complementar de pisos, com produtos químicos</t>
  </si>
  <si>
    <t>Limpeza de vidros</t>
  </si>
  <si>
    <t>TOTAL + BDI</t>
  </si>
  <si>
    <t>3.2</t>
  </si>
  <si>
    <t>4.2</t>
  </si>
  <si>
    <t>12.2</t>
  </si>
  <si>
    <t>8.2</t>
  </si>
  <si>
    <t>Alvenaria de embasamento em bloco de concreto com 19 cm</t>
  </si>
  <si>
    <t>Pintura com stain em Janelas, portas, batentes e guarnições</t>
  </si>
  <si>
    <t>Pintura com stain p/ estruturas de madeira aparente, ripas, caibros, terças, vigas e  pilares</t>
  </si>
  <si>
    <t>3.3</t>
  </si>
  <si>
    <t>3.4</t>
  </si>
  <si>
    <t>3.5</t>
  </si>
  <si>
    <t>sub- total: 2</t>
  </si>
  <si>
    <t>sub- total: 1</t>
  </si>
  <si>
    <t>sub- total: 5</t>
  </si>
  <si>
    <t>sub- total: 3</t>
  </si>
  <si>
    <t>sub- total: 6</t>
  </si>
  <si>
    <t>sub- total: 10</t>
  </si>
  <si>
    <t>sub- total: 11</t>
  </si>
  <si>
    <t>sub- total: 12</t>
  </si>
  <si>
    <t>TOTAL COM BDI</t>
  </si>
  <si>
    <t>Início de obra</t>
  </si>
  <si>
    <t>1.4</t>
  </si>
  <si>
    <t>1.6</t>
  </si>
  <si>
    <t>Tubulação de PVC rígido marrom inclusive conexões diâm. 32mm</t>
  </si>
  <si>
    <t>DISCRIMINAÇÃO</t>
  </si>
  <si>
    <t>sub-total: 1</t>
  </si>
  <si>
    <t>P.SERV.</t>
  </si>
  <si>
    <t>1.7</t>
  </si>
  <si>
    <t>6.4</t>
  </si>
  <si>
    <t>6.5</t>
  </si>
  <si>
    <t>1.8</t>
  </si>
  <si>
    <t>Construção provisória em madeira - fornecimento e montagem</t>
  </si>
  <si>
    <t>2.4</t>
  </si>
  <si>
    <t>Coluna principal Portal D/40 d/32 Comp/8m</t>
  </si>
  <si>
    <t>Coluna reforço D/40 d/38 Comp/2,5m</t>
  </si>
  <si>
    <t>Calço/reforço interno das traves D/38 d/37,5 comp/1m</t>
  </si>
  <si>
    <t>Calço/reforço diag.D/28 d/26 comp/2m</t>
  </si>
  <si>
    <t>Colunas 02 guarita D/38 d/34 comp/4m</t>
  </si>
  <si>
    <t>Coluna para sinalizador D/21,5 d/14 comp/2m</t>
  </si>
  <si>
    <t>Película Refletiva em adesivo vinículo da 3M nas cores amarela e preta</t>
  </si>
  <si>
    <t>10.2</t>
  </si>
  <si>
    <t>Revestimento</t>
  </si>
  <si>
    <t>Forro</t>
  </si>
  <si>
    <t>Cobertura</t>
  </si>
  <si>
    <t>Concreto estrutural</t>
  </si>
  <si>
    <t>Fôrma</t>
  </si>
  <si>
    <t>1.5</t>
  </si>
  <si>
    <t>12.3</t>
  </si>
  <si>
    <t>1.9</t>
  </si>
  <si>
    <t>Parafuso passante completo d=1" X1000mm</t>
  </si>
  <si>
    <t>Parafuso passante completo d=3/4" X1000mm</t>
  </si>
  <si>
    <t>Parafuso passante completo d=3/4" X1300mm</t>
  </si>
  <si>
    <t>Bolt M12x200mm</t>
  </si>
  <si>
    <t>Triedro de base 12,5mmX10mmX10mm</t>
  </si>
  <si>
    <t>1.10</t>
  </si>
  <si>
    <t>1.11</t>
  </si>
  <si>
    <t>1.12</t>
  </si>
  <si>
    <t>1.13</t>
  </si>
  <si>
    <t>1.14</t>
  </si>
  <si>
    <t>Pintura</t>
  </si>
  <si>
    <t>Equipamentos</t>
  </si>
  <si>
    <t>Escavação da vala de drenagem em solo até 50cm de profundidade</t>
  </si>
  <si>
    <t>sub- total: 4</t>
  </si>
  <si>
    <t>sub- total: 7</t>
  </si>
  <si>
    <t>sub- total: 8</t>
  </si>
  <si>
    <t>sub- total: 9</t>
  </si>
  <si>
    <t>sub-total: 2</t>
  </si>
  <si>
    <t>sub-total: 3</t>
  </si>
  <si>
    <t>3.6</t>
  </si>
  <si>
    <t>sub-total: 4</t>
  </si>
  <si>
    <t>6.6</t>
  </si>
  <si>
    <t>6.7</t>
  </si>
  <si>
    <t>6.8</t>
  </si>
  <si>
    <t>Parafuso passante completo d=1" X1500mm</t>
  </si>
  <si>
    <t>Parafuso passante completo d=16mm X365mm</t>
  </si>
  <si>
    <t>Ripas 5 x 2,5cm (Ripão)</t>
  </si>
  <si>
    <t>Sarrafo</t>
  </si>
  <si>
    <t>Aluguel caminhão Munck período de 37 dias</t>
  </si>
  <si>
    <t>1.15</t>
  </si>
  <si>
    <t>1.17</t>
  </si>
  <si>
    <t>1.19</t>
  </si>
  <si>
    <t>1.20</t>
  </si>
  <si>
    <t>1.21</t>
  </si>
  <si>
    <t>cj</t>
  </si>
  <si>
    <t>6.9</t>
  </si>
  <si>
    <t>6.10</t>
  </si>
  <si>
    <t>unid</t>
  </si>
  <si>
    <t>hora</t>
  </si>
  <si>
    <t>Entrada de Energia Elétrica</t>
  </si>
  <si>
    <t>dia</t>
  </si>
  <si>
    <t>Entrada de Água</t>
  </si>
  <si>
    <t>Desvio para montagem do Pórtico</t>
  </si>
  <si>
    <t>Limpeza mecanizada, movimento de terra (corte e/ou aterro) para desvio do transito local, para permitir montagem e apoio dos pórticos</t>
  </si>
  <si>
    <t>Reconfiguração do terreno para situação original</t>
  </si>
  <si>
    <t>Movimento de terra</t>
  </si>
  <si>
    <t>Armaduras de aço  CA 50</t>
  </si>
  <si>
    <t>Alvenaria de embasamento / Impermeabilização</t>
  </si>
  <si>
    <t>Ligaçõe Metálicas</t>
  </si>
  <si>
    <t>Tubo galvanizado diâm 6" espessura 3/16"</t>
  </si>
  <si>
    <t>br</t>
  </si>
  <si>
    <t>Serralheiro</t>
  </si>
  <si>
    <t>Ajudante</t>
  </si>
  <si>
    <t>6.11</t>
  </si>
  <si>
    <t>Tubo galvanizado diâm 8" espessura 3/16"</t>
  </si>
  <si>
    <t>1.22</t>
  </si>
  <si>
    <t>1.23</t>
  </si>
  <si>
    <t>Mão-de-Obra de carpintaria - carpinteiros</t>
  </si>
  <si>
    <t>Mão-de-Obra de carpintaria - ajudantes</t>
  </si>
  <si>
    <t>1.1.1</t>
  </si>
  <si>
    <t>1.1.2</t>
  </si>
  <si>
    <t>1.1.3</t>
  </si>
  <si>
    <t>2.5</t>
  </si>
  <si>
    <t>2.6</t>
  </si>
  <si>
    <t>2.7</t>
  </si>
  <si>
    <t>Pisos, rodapés, peitoril e soleiras</t>
  </si>
  <si>
    <t>Lambri (forro) em tábuas aparelhadas macho/femea, para colocação em todos ambientes internos acompanhando a inclinação do telhado, exceto sob caixa d'água, com tábuas paralelas aos caibros. Largura 100 mm e espessura 12 mm, em madeira de pinus tratado em autoclave com CCA.</t>
  </si>
  <si>
    <t>5.3</t>
  </si>
  <si>
    <t xml:space="preserve">Esquadrias em madeira maciça tipo pau-roxo com ferragens completas. Madeira certificada pelo IBAMA conforme Decreto 49674 - 06/06/2005. </t>
  </si>
  <si>
    <t>6.1.2</t>
  </si>
  <si>
    <t>6.1.3</t>
  </si>
  <si>
    <t>6.2.1</t>
  </si>
  <si>
    <t>6.2.2</t>
  </si>
  <si>
    <t>6.2.3</t>
  </si>
  <si>
    <t>6.2.4</t>
  </si>
  <si>
    <t>subtotal : 6</t>
  </si>
  <si>
    <t>6.1.4</t>
  </si>
  <si>
    <t>8.3</t>
  </si>
  <si>
    <t>8.4</t>
  </si>
  <si>
    <t>9.1</t>
  </si>
  <si>
    <t>9.2</t>
  </si>
  <si>
    <t>Sinalização / Barreira</t>
  </si>
  <si>
    <t>Cancela Manual com lança de 3,50m</t>
  </si>
  <si>
    <t>11.1.1</t>
  </si>
  <si>
    <t>11.1.2</t>
  </si>
  <si>
    <t>11.1.3</t>
  </si>
  <si>
    <t>11.2.1</t>
  </si>
  <si>
    <t>11.2.2</t>
  </si>
  <si>
    <t>11.2.3</t>
  </si>
  <si>
    <t>11.2.4</t>
  </si>
  <si>
    <t>11.1.4</t>
  </si>
  <si>
    <t>Pintura em madeira "Stain" impregnante tingido, da Sayer Lack (polistein) cor castanheira, duas demãos a pincel, p/ estruturas de madeira aparente, ripas, caibros, terças, vigas, pilares, forros, portas, janelas, etc.</t>
  </si>
  <si>
    <t>Limpeza Final da obra</t>
  </si>
  <si>
    <t>Pintura com stain para os forros e deck</t>
  </si>
  <si>
    <t>Abastecimento Predial</t>
  </si>
  <si>
    <t>Tubulação de PVC rígido marrom inclusive conexões diâm. 25mm</t>
  </si>
  <si>
    <t>Tubulação de PVC rígido marrom inclusive conexões diâm. 40mm</t>
  </si>
  <si>
    <t>Registro de Gaveta em latão fundido acabamento cromado com canopla diâm. 3/4" inclusive adaptadores rosca/solda</t>
  </si>
  <si>
    <t>Torneira de bóia diâm. 3/4"</t>
  </si>
  <si>
    <t>2.8</t>
  </si>
  <si>
    <t>Reservatório em fibra de vidro cap. 250litros</t>
  </si>
  <si>
    <t>Acabamentos / Metais</t>
  </si>
  <si>
    <t>Torneira de bancada para lavatório com bica móvel e arejador DN 1/2"</t>
  </si>
  <si>
    <t>Torneira de bancada para pia com bica móvel e arejador DN 3/4"</t>
  </si>
  <si>
    <t>Torneira de uso geral longa com rosca  DN 3/4"</t>
  </si>
  <si>
    <t>Tubo de ligação flexível para lavatório diâm 1/2"</t>
  </si>
  <si>
    <t>Tubo de ligação flexível para pia diâm 3/4"</t>
  </si>
  <si>
    <t>Tubo de ligação flexível para bacia sanitária c/ cx acoplada diâm 3/4"</t>
  </si>
  <si>
    <t>Tubo de PVC branco soldável, ponta e bolsa conforme NBR 5688 da ABNT ref. Tigre inclusive conexões</t>
  </si>
  <si>
    <t>diâmetro 40 mm</t>
  </si>
  <si>
    <t>diâmetro 50 mm</t>
  </si>
  <si>
    <t>diâmetro 100 mm</t>
  </si>
  <si>
    <t>Complementos</t>
  </si>
  <si>
    <t>Sifão regulável para lavatório Deca 1680 C ou similar em metal</t>
  </si>
  <si>
    <t>Sifão regulável para pia Deca 1680 C ou similar em metal</t>
  </si>
  <si>
    <t>Válvula para lavatório com ladrão  Deca 1602C ou similar em metal</t>
  </si>
  <si>
    <t>Válvula para pia  Deca 1602C ou similar em metal</t>
  </si>
  <si>
    <t>pç</t>
  </si>
  <si>
    <t>Caixa sifonada em PVC com 7 entradas 40 mm e 1 saída 50 mm com grelha de metal cromado tamanho 150 x 150 x 50 mm</t>
  </si>
  <si>
    <t>Caixa de inspeção / passagem / distribuição em alvenaria, revestida e impermeabilizada medindo 60 x 60 cm (med internas) com tampa</t>
  </si>
  <si>
    <t>Caixa de gordura em alvenaria, revestida e impermeabilizada medindo 60 x 60  cm (med internas) com tampa</t>
  </si>
  <si>
    <t>Caixas sifonada/inspeção/passagem/gordura/distribuição</t>
  </si>
  <si>
    <t>DISCRIMINAÇÃ0</t>
  </si>
  <si>
    <t>P.U.SERV.</t>
  </si>
  <si>
    <t xml:space="preserve">Quadro de distribuição geral </t>
  </si>
  <si>
    <t>Eletroduto em PVC rígido, fornecido em barras de 3 m com uma luva em uma das extremidades, inclusive conexões</t>
  </si>
  <si>
    <t>Interruptor com placa fornecido com parafuso de fixação</t>
  </si>
  <si>
    <t>Interruptor simples</t>
  </si>
  <si>
    <t>Tomada universal redonda com placa fornecido com parafuso de fixação</t>
  </si>
  <si>
    <t xml:space="preserve">2P +T 20A-250V </t>
  </si>
  <si>
    <t>Braçadeira tipo d ou similar</t>
  </si>
  <si>
    <t>metálica com parafuso auto-atarrachante</t>
  </si>
  <si>
    <t xml:space="preserve">Luminárias </t>
  </si>
  <si>
    <t>7.2</t>
  </si>
  <si>
    <t>7.3</t>
  </si>
  <si>
    <t>7.4</t>
  </si>
  <si>
    <t xml:space="preserve">Lâmpadas </t>
  </si>
  <si>
    <t>Condutores  elétricos -  fio com isolamento 750V e isolação em PVC 70°C em cores variadas e neutro azul claro e terra verde claro</t>
  </si>
  <si>
    <t>seção nominal 2,5 mm²</t>
  </si>
  <si>
    <t>Cabo PP Cordplast 450 / 750 V</t>
  </si>
  <si>
    <t>seção nominal 2 x 2,5 mm²</t>
  </si>
  <si>
    <t xml:space="preserve">Tomada telefone </t>
  </si>
  <si>
    <t>padrão Telebras</t>
  </si>
  <si>
    <t xml:space="preserve">Fio p/ para telefone </t>
  </si>
  <si>
    <t># 1,00 mm² - encapado para duas linhas</t>
  </si>
  <si>
    <t>seção nominal 6,0 mm²</t>
  </si>
  <si>
    <t>Indentificado por QL em chapa de 1mm de espessura para embutir tensão nominal 110/220V bifásico,  14 disjuntores, montado e interligando os equipamentos  conforme desenho E - 01</t>
  </si>
  <si>
    <t>diâmetro 1 1/4"</t>
  </si>
  <si>
    <t>diâmetro 3/4"</t>
  </si>
  <si>
    <t>Condulete de Alumínio</t>
  </si>
  <si>
    <t xml:space="preserve"> Tipo R12/M5 com tampa</t>
  </si>
  <si>
    <t>Idem porém 160W E-27 ou similar com braço reto galvanizado eletrolítico de 150cm</t>
  </si>
  <si>
    <t>Luminária tipo chapéu chinês diâmetro 15" para lâmpadas de até 200W</t>
  </si>
  <si>
    <t>Luminária blindada oval de sobrepor fixação em caixa 4x2" em alumínio fundido, a prova de tempo p/ lâmpada de até 100W que permita instal. compacta fluor. de 25W</t>
  </si>
  <si>
    <t>Projetor retangular em alumínio - 400W referência  LevLux E-40 ou similar com reator</t>
  </si>
  <si>
    <t>Diâmentro 100 mm</t>
  </si>
  <si>
    <t>Canaleta em Alvenaria</t>
  </si>
  <si>
    <t>Impermeabilização</t>
  </si>
  <si>
    <t>Bloco de concreto 9x19x39 assentes em argamassa mista traço 1:4/12</t>
  </si>
  <si>
    <t>Brita</t>
  </si>
  <si>
    <t>Impermeabilização interna da canaleta com argamassa, hidrofugante e tinta betuminosa. O fundo é drenante</t>
  </si>
  <si>
    <t>Brita n°2 para preenchimento das valas de drenagem</t>
  </si>
  <si>
    <t>Escavação</t>
  </si>
  <si>
    <t xml:space="preserve">Acerto de base, compactação e contrapiso da pista, acessos e entorno </t>
  </si>
  <si>
    <t>Piso em bloco intertravado de 8cm espessura na cor cinza medindo 22x11cm para tráfego pesado</t>
  </si>
  <si>
    <t>Plantio</t>
  </si>
  <si>
    <t>Líquido base para preparo da superfície em tinta latéx</t>
  </si>
  <si>
    <t>Duas demãos de cupinicida nas peças de madeiras não tratadas e nos entalhes das peças tratadas com ginocupinicida</t>
  </si>
  <si>
    <t>1.IMPLANTAÇÃO</t>
  </si>
  <si>
    <t>3. ESTRUTURA DE MADEIRA</t>
  </si>
  <si>
    <t>2.ESTRUTURAS DE CONCRETO E LIGAÇÕES METÁLICAS</t>
  </si>
  <si>
    <t>SUBTOTAL R$</t>
  </si>
  <si>
    <t xml:space="preserve">  TOTAL R$ </t>
  </si>
  <si>
    <t>ETAPAS</t>
  </si>
  <si>
    <t>Placa Elipse</t>
  </si>
  <si>
    <t>Execução de Placa Elipse duas unidades em fibra de vidro, texto e logo em adesivo plotado, fixação, peliculas,  etc. conforme projeto</t>
  </si>
  <si>
    <t xml:space="preserve">Pisos </t>
  </si>
  <si>
    <t>Forração, altura de 0,50 m, caixa com 15 mudas - Lantana Camara</t>
  </si>
  <si>
    <t>cx</t>
  </si>
  <si>
    <t>Forração, altura de 0,50 m, caixa com 15 mudas - Salvia Splendens (Sálvia)</t>
  </si>
  <si>
    <t>Forração, altura de 0,50 m, caixa com 15 mudas - Neumarica Candida</t>
  </si>
  <si>
    <t>Forração, altura de 0,50 m, caixa com 10 mudas - Vrisea Incurvata</t>
  </si>
  <si>
    <t>Terra orgânica adubada para preparo do plantio das mudas e acerto do terreno</t>
  </si>
  <si>
    <t>Peças de eucalipto citriodora tratado em autoclave</t>
  </si>
  <si>
    <t>Execução de rede em baixa tensão enterrada em vala com eletroduto em pvc 1", com extensão de  70m em 240/127V 2F+N para alimentar o Quadro de Luz a partir do padrão da concessionária. Solicitar ligação bifásica para a concessionária local.</t>
  </si>
  <si>
    <t>Trave principal Portal D/38 d/18 Comp/17m</t>
  </si>
  <si>
    <t>Diagonal Frontal 01 D/28 d/21,5 Comp/7m</t>
  </si>
  <si>
    <t>Diagonal Frontal 02 D/28 d/25,5 Comp/3,5m</t>
  </si>
  <si>
    <t>Diagonal Posterior 03 D/28 d/26,5 Comp/2,5m</t>
  </si>
  <si>
    <t>Diagonal Posterior 04 D/28 d/23,5 Comp/5m</t>
  </si>
  <si>
    <t>Pérgolas D/29 d/21 comp/6m</t>
  </si>
  <si>
    <t>Colunas 01 guarita D/38 d/29 comp/9m</t>
  </si>
  <si>
    <t>Vigas  guarita D/36 d/31 comp/5m</t>
  </si>
  <si>
    <t>Caibros guarita D/21,5 d/16 comp/5m</t>
  </si>
  <si>
    <t>Alvenaria / Fechamento</t>
  </si>
  <si>
    <t>1.1.4</t>
  </si>
  <si>
    <t>Piso Superior</t>
  </si>
  <si>
    <t>3.2.1</t>
  </si>
  <si>
    <t>3.2.2</t>
  </si>
  <si>
    <t>Viga serrada 6 x 16 peças de 5m</t>
  </si>
  <si>
    <t xml:space="preserve">Portas,  batentes e guarnições em madeira maciça, conforme  projeto e ferragens completas em latão, inclusive batedores junto a parede. </t>
  </si>
  <si>
    <t xml:space="preserve">Janelas, batentes (25 cm), guarnições e cordões em madeira maciça (tipo cedro, angelim ou similar), conforme projeto e ferragens completas em latão (dobradiças, fechos, cremonas, trilhos, etc. </t>
  </si>
  <si>
    <t>C1-Batente em madeira e vidro temperado 10 mm fixo e correr e maxim-ar medindo 3,80 x 1,10m - 1 unidade</t>
  </si>
  <si>
    <t>C2- Idem, medindo 1,30 x 1,10m  -  3 unidades</t>
  </si>
  <si>
    <t>C3- Idem, porém somente fixo com ventilação permanente medindo 1,00 x 0,60m  -  2 unidades</t>
  </si>
  <si>
    <t>C4-Batente em madeira e vidro temperado 10 mm fixo e correr e maxim-ar medindo 2,50 x 1,10m - 3 unidades</t>
  </si>
  <si>
    <t>6.2.5</t>
  </si>
  <si>
    <t>C5-Batente em madeira e vidro temperado 10 mm fixo e correr e maxim-ar medindo 3,70 x 1,10m - 1 unidade</t>
  </si>
  <si>
    <t xml:space="preserve">Deck em tábuas Pinus padrão Stella - Deck Line ou similar Epécie: Pinus Eliotti tratado para tábuas do deck e estrutura de apoio (vigas, barrotes, etc.) - retenção de CCA-C (base óxida) mínima de 14kg/m³ de madeira tratada que deve ser comprovada pelo fornecedor. </t>
  </si>
  <si>
    <t>Deck e Escada em madeira</t>
  </si>
  <si>
    <t>Escada em madeira de eucalipto tratado, com 14 degraus em tábuas aparelhadas, estrutura em caracol</t>
  </si>
  <si>
    <t>Tampo em madeira tipo OSB/Compensado revestido com laminado de madeira na cor tabaco com portas e prateleiras para térreo e superior</t>
  </si>
  <si>
    <t>Bancadas com portas e prateleiras (térreo, superior e copa) em madeira</t>
  </si>
  <si>
    <t>Portas e prateleira sob bancada de granito da cozinha</t>
  </si>
  <si>
    <t>Lavatório de louça com coluna</t>
  </si>
  <si>
    <t>Hidrofugante a base de água, do tipo "aquela"  ou similar para superficie de telhas cerâmicas (processo de imersão)</t>
  </si>
  <si>
    <t>11.15</t>
  </si>
  <si>
    <t>Pintura em paredes/pisos/telhas</t>
  </si>
  <si>
    <t>Resina acrílica tipo "fuseprotec" para piso de pedra</t>
  </si>
  <si>
    <t>Sistema de abastecimento de água</t>
  </si>
  <si>
    <t>Tubo de PVC rígido soldável classe 15 - 50mm inclusive conexões</t>
  </si>
  <si>
    <t>Mangueira lisa em polietileno PE80 p/ água  DN 2"</t>
  </si>
  <si>
    <t>Registro de Gaveta em latão fundido acabamento bruto diâm. 3/4" inclusive adaptadores rosca/solda</t>
  </si>
  <si>
    <t>Registro de Gaveta em latão fundido acabamento bruto diâm. 1 1/4" inclusive adaptadores rosca/solda</t>
  </si>
  <si>
    <t>Registro de Gaveta em latão fundido acabamento bruto diâm. 1" inclusive adaptadores rosca/solda</t>
  </si>
  <si>
    <t>Interruptor paralelo</t>
  </si>
  <si>
    <t>Regularização de base, com areia média em caixa de 10cm de altura e bica corrida (variável)</t>
  </si>
  <si>
    <t>CPOS</t>
  </si>
  <si>
    <t>INCC</t>
  </si>
  <si>
    <t>S/ código</t>
  </si>
  <si>
    <t>02.10.020</t>
  </si>
  <si>
    <t>Locação de obra de edificação</t>
  </si>
  <si>
    <t>02.08.020</t>
  </si>
  <si>
    <t>Placa de identificação para obra</t>
  </si>
  <si>
    <t>02.09.030</t>
  </si>
  <si>
    <t>Limpeza manual do terreno, inclusive troncos até 5 cm de diâmetro, com caminhão à disposição, dentro da obra, até o raio de 1,0 km</t>
  </si>
  <si>
    <t>05.07.040</t>
  </si>
  <si>
    <t>Remoção de entulho separado de obra com caçamba metálica - terra, alvenaria, concreto, argamassa, madeira, papel, plástico ou metal</t>
  </si>
  <si>
    <t>07.01.010</t>
  </si>
  <si>
    <t>Escavação e carga mecanizada para exploração de solo em jazida</t>
  </si>
  <si>
    <t>05.10.024</t>
  </si>
  <si>
    <t>Transporte de solo de 1ª e 2ª categoria por caminhão para distâncias superiores ao 10° km até o 15° km</t>
  </si>
  <si>
    <t>02.01.020</t>
  </si>
  <si>
    <t>06.02.020</t>
  </si>
  <si>
    <t>Escavação manual em solo de 1ª e 2ª categoria em vala ou cava até 1,50 m</t>
  </si>
  <si>
    <t>03.07.010</t>
  </si>
  <si>
    <t>Demolição (levantamento) mecanizada de pavimento asfáltico, inclusive carregamento, transporte até 1,0 quilômetro e descarregamento</t>
  </si>
  <si>
    <t>36.03.030</t>
  </si>
  <si>
    <t>Caixa de medição externa tipo ´L´ (900 x 600 x 270) mm, padrão Eletropaulo</t>
  </si>
  <si>
    <t>68.01.330</t>
  </si>
  <si>
    <t>Poste de concreto duplo T, 150 kg, H = 10,00 m</t>
  </si>
  <si>
    <t>S/ CÓDIGO</t>
  </si>
  <si>
    <t>39.02.030</t>
  </si>
  <si>
    <t>Cabo de cobre de 6 mm², isolamento 750 V - isolação em PVC 70°C</t>
  </si>
  <si>
    <t>46.01.030</t>
  </si>
  <si>
    <t>Tubo de PVC rígido soldável marrom, DN= 32 mm, (1´), inclusive conexões</t>
  </si>
  <si>
    <t>50.01.080</t>
  </si>
  <si>
    <t>Mangueira com união de engate rápido, DN= 1 1/2´ (38 mm)</t>
  </si>
  <si>
    <t>06.11.040</t>
  </si>
  <si>
    <t>Reaterro manual apiloado sem controle de compactação</t>
  </si>
  <si>
    <t>10.01.040</t>
  </si>
  <si>
    <t>Armadura em barra de aço CA-50 (A ou B) fyk= 500 Mpa DIÂMETRO 6.3MM</t>
  </si>
  <si>
    <t>Armadura em barra de aço CA-50 (A ou B) fyk= 500 Mpa DIÂMETRO 10.0MM</t>
  </si>
  <si>
    <t>Armadura em barra de aço CA-50 (A ou B) fyk= 500 Mpa DIÂMETRO 6.8MM</t>
  </si>
  <si>
    <t>11.03.090</t>
  </si>
  <si>
    <t>Concreto preparado no local, fck = 20,0 MPa</t>
  </si>
  <si>
    <t>11.04.040</t>
  </si>
  <si>
    <t>Concreto não estrutural executado no local, mínimo 200 kg cimento / m³</t>
  </si>
  <si>
    <t>11.16.040</t>
  </si>
  <si>
    <t>Lançamento e adensamento de concreto ou massa em fundação</t>
  </si>
  <si>
    <t>14.01.060</t>
  </si>
  <si>
    <t>32.16.040</t>
  </si>
  <si>
    <t>Impermeabilização em membrana de asfalto modificado com elastômeros, na cor preta e reforço em tela poliéster</t>
  </si>
  <si>
    <t>09.01.020</t>
  </si>
  <si>
    <t>Forma em madeira comum para fundação</t>
  </si>
  <si>
    <t>14.04.220</t>
  </si>
  <si>
    <t>Alvenaria de bloco cerâmico de vedação, uso revestido, de 19 cm</t>
  </si>
  <si>
    <t>14.04.210</t>
  </si>
  <si>
    <t>Alvenaria de bloco cerâmico de vedação, uso revestido, de 14 cm</t>
  </si>
  <si>
    <t>14.04.200</t>
  </si>
  <si>
    <t>Alvenaria de bloco cerâmico de vedação, uso revestido, de 9 cm</t>
  </si>
  <si>
    <t>14.30.160</t>
  </si>
  <si>
    <t>Divisória em placas de gesso acartonado, resistência ao fogo 60 minutos, espessura 120/90mm - 1RF / 1RF LM</t>
  </si>
  <si>
    <t>17.02.020</t>
  </si>
  <si>
    <t>Chapisco</t>
  </si>
  <si>
    <t>17.02.120</t>
  </si>
  <si>
    <t>Emboço comum</t>
  </si>
  <si>
    <t>17.02.220</t>
  </si>
  <si>
    <t>Reboco</t>
  </si>
  <si>
    <t>18.11.090</t>
  </si>
  <si>
    <t>Revestimento em placa cerâmica esmaltada para parede interna de 10 x 10 cm, assentado com argamassa colante industrializada com cantoneira em alumínio</t>
  </si>
  <si>
    <t>19.03.020</t>
  </si>
  <si>
    <t>17.01.020</t>
  </si>
  <si>
    <t>21.02.291</t>
  </si>
  <si>
    <t>Revestimento vinílico heterogêneo flexível em réguas com espessura de 3 mm, com impermeabilização acrílica</t>
  </si>
  <si>
    <t>19.03.110</t>
  </si>
  <si>
    <t>19.03.290</t>
  </si>
  <si>
    <t>22.01.020</t>
  </si>
  <si>
    <t>16.02.020</t>
  </si>
  <si>
    <t>16.02.230</t>
  </si>
  <si>
    <t>16.33.080</t>
  </si>
  <si>
    <t>Calha, rufo, afins em chapa galvanizada nº 26 - corte 0,33 m</t>
  </si>
  <si>
    <t>23.02.040</t>
  </si>
  <si>
    <t>Porta macho e fêmea com batente de madeira - 80 x 210 cm</t>
  </si>
  <si>
    <t>23.02.050</t>
  </si>
  <si>
    <t>Porta macho e fêmea com batente de madeira - 90 x 210 cm</t>
  </si>
  <si>
    <t>28.01.020</t>
  </si>
  <si>
    <t>Ferragem completa com maçaneta tipo alavanca para porta externa com 1 folha</t>
  </si>
  <si>
    <t>23.01.050</t>
  </si>
  <si>
    <t>23.01.051</t>
  </si>
  <si>
    <t>23.01.052</t>
  </si>
  <si>
    <t>23.01.053</t>
  </si>
  <si>
    <t>23.01.054</t>
  </si>
  <si>
    <t>20.03.010</t>
  </si>
  <si>
    <t>44.01.800</t>
  </si>
  <si>
    <t>Bacia sifonada com caixa de descarga acoplada sem tampa - 6 litros</t>
  </si>
  <si>
    <t>44.20.280</t>
  </si>
  <si>
    <t>Tampa de plástico para bacia sanitária</t>
  </si>
  <si>
    <t>44.02.060</t>
  </si>
  <si>
    <t>Tampo/bancada em granito com espessura de 3 cm</t>
  </si>
  <si>
    <t>44.06.310</t>
  </si>
  <si>
    <t>Cuba em aço inoxidável simples de 465x300x140mm</t>
  </si>
  <si>
    <t>44.01.110</t>
  </si>
  <si>
    <t>23.08.060</t>
  </si>
  <si>
    <t>32.06.231</t>
  </si>
  <si>
    <t>35.03.030</t>
  </si>
  <si>
    <t>33.01.350</t>
  </si>
  <si>
    <t>33.02.080</t>
  </si>
  <si>
    <t>Massa corrida à base de resina acrílica</t>
  </si>
  <si>
    <t>33.10.010</t>
  </si>
  <si>
    <t>Tinta látex antimofo em massa, inclusive preparo</t>
  </si>
  <si>
    <t>33.03.770</t>
  </si>
  <si>
    <t>17.40.180</t>
  </si>
  <si>
    <t>33.05.010</t>
  </si>
  <si>
    <t>33.05.330</t>
  </si>
  <si>
    <t>33.05.331</t>
  </si>
  <si>
    <t>33.05.332</t>
  </si>
  <si>
    <t>55.01.020</t>
  </si>
  <si>
    <t>55.01.070</t>
  </si>
  <si>
    <t>55.01.100</t>
  </si>
  <si>
    <t>46.01.050</t>
  </si>
  <si>
    <t>47.01.020</t>
  </si>
  <si>
    <t>46.01.020</t>
  </si>
  <si>
    <t>46.01.040</t>
  </si>
  <si>
    <t>47.02.020</t>
  </si>
  <si>
    <t>47.02.030</t>
  </si>
  <si>
    <t>47.01.040</t>
  </si>
  <si>
    <t>48.05.010</t>
  </si>
  <si>
    <t>48.02.001</t>
  </si>
  <si>
    <t>44.03.720</t>
  </si>
  <si>
    <t>44.03.440</t>
  </si>
  <si>
    <t>44.20.100</t>
  </si>
  <si>
    <t>44.20.230</t>
  </si>
  <si>
    <t>46.02.010</t>
  </si>
  <si>
    <t>46.02.050</t>
  </si>
  <si>
    <t>46.02.070</t>
  </si>
  <si>
    <t>44.20.200</t>
  </si>
  <si>
    <t>44.20.620</t>
  </si>
  <si>
    <t>49.01.030</t>
  </si>
  <si>
    <t>37.03.200</t>
  </si>
  <si>
    <t>38.01.040</t>
  </si>
  <si>
    <t>38.01.080</t>
  </si>
  <si>
    <t>40.06.500</t>
  </si>
  <si>
    <t>40.05.180</t>
  </si>
  <si>
    <t>40.05.170</t>
  </si>
  <si>
    <t>40.04.460</t>
  </si>
  <si>
    <t>36.20.060</t>
  </si>
  <si>
    <t>41.12.050</t>
  </si>
  <si>
    <t>41.13.200</t>
  </si>
  <si>
    <t>39.02.016</t>
  </si>
  <si>
    <t>40.04.080</t>
  </si>
  <si>
    <t>39.11.020</t>
  </si>
  <si>
    <t>14.10.120</t>
  </si>
  <si>
    <t>32.16.010</t>
  </si>
  <si>
    <t>34.02.040</t>
  </si>
  <si>
    <t>54.04.360</t>
  </si>
  <si>
    <t>54.06.040</t>
  </si>
  <si>
    <t>54.01.010</t>
  </si>
  <si>
    <t>54.04.340</t>
  </si>
  <si>
    <t>41.11.090</t>
  </si>
  <si>
    <t>34.01.010</t>
  </si>
  <si>
    <t>4. ARQUITETURA</t>
  </si>
  <si>
    <r>
      <t xml:space="preserve">Estrutura de madeira pórtico e guarita - </t>
    </r>
    <r>
      <rPr>
        <sz val="12"/>
        <rFont val="Ecofont Vera Sans"/>
        <family val="2"/>
      </rPr>
      <t>Projeto de estrutura de madeira conforme NBR 7190/1997 da ABNT. Espécie: Eucalipto Citriodora (Eucalyptus Citriodora) - retenção de CCA-C (base óxida) mínima de 14kg/m³ de madeira tratada, que deve ser comprovada pelo fornecedor. As ligações metálicas devem ser obrigatoriamente galvanizadas.</t>
    </r>
  </si>
  <si>
    <r>
      <t xml:space="preserve">As </t>
    </r>
    <r>
      <rPr>
        <b/>
        <sz val="12"/>
        <rFont val="Ecofont Vera Sans"/>
        <family val="2"/>
      </rPr>
      <t>alvenarias de elevação</t>
    </r>
    <r>
      <rPr>
        <sz val="12"/>
        <rFont val="Ecofont Vera Sans"/>
        <family val="2"/>
      </rPr>
      <t xml:space="preserve"> deverão ser executadas com blocos de concreto de boa qualidade, assentes com argamassa mista traço 1:4/12. Deverão ser respeitadas as espessuras das paredes indicadas em planta.</t>
    </r>
  </si>
  <si>
    <r>
      <t>Revestimento externo</t>
    </r>
    <r>
      <rPr>
        <sz val="12"/>
        <rFont val="Ecofont Vera Sans"/>
        <family val="2"/>
      </rPr>
      <t xml:space="preserve"> de elevação, deverá ser executado em Pedra Madeira Bruta, corte manual, em formato de filetes irregulares. (guarita)</t>
    </r>
  </si>
  <si>
    <r>
      <t>Revestimento externo</t>
    </r>
    <r>
      <rPr>
        <sz val="12"/>
        <rFont val="Ecofont Vera Sans"/>
        <family val="2"/>
      </rPr>
      <t xml:space="preserve"> de elevação, deverá ser executado em Pedra Madeira Bruta, corte manual, em formato de filetes irregulares. (floreira)</t>
    </r>
  </si>
  <si>
    <r>
      <t>Regularização de base</t>
    </r>
    <r>
      <rPr>
        <sz val="12"/>
        <rFont val="Ecofont Vera Sans"/>
        <family val="2"/>
      </rPr>
      <t xml:space="preserve"> para piso com apiloamento prévio do terreno e nivelamento da superficie, empregando argamassa de cimento e areia média ou grossa sem peneirar no traço 1:5, com aditivo impermeabilizante, espessura 5 cm armado com malha de 50 cm, com barras de 3/16¨CA 25</t>
    </r>
  </si>
  <si>
    <r>
      <t xml:space="preserve">Estrutura em barrote </t>
    </r>
    <r>
      <rPr>
        <sz val="12"/>
        <rFont val="Ecofont Vera Sans"/>
        <family val="2"/>
      </rPr>
      <t>(viga 6x16) peças de 5m</t>
    </r>
  </si>
  <si>
    <r>
      <t xml:space="preserve">Piso em  pedra Goiás Amarela, </t>
    </r>
    <r>
      <rPr>
        <sz val="12"/>
        <rFont val="Ecofont Vera Sans"/>
        <family val="2"/>
      </rPr>
      <t>tamanho 40 x 40 cm, espessura de 3,0 cm</t>
    </r>
  </si>
  <si>
    <r>
      <t xml:space="preserve">Rodapé em pedra Goiás Amarela </t>
    </r>
    <r>
      <rPr>
        <sz val="12"/>
        <rFont val="Ecofont Vera Sans"/>
        <family val="2"/>
      </rPr>
      <t>formato 40 x 7 cm</t>
    </r>
  </si>
  <si>
    <r>
      <t xml:space="preserve">Peitoril em pedra Goiás Amarela </t>
    </r>
    <r>
      <rPr>
        <sz val="12"/>
        <rFont val="Ecofont Vera Sans"/>
        <family val="2"/>
      </rPr>
      <t>formato 40 x 7 cm para janelas</t>
    </r>
  </si>
  <si>
    <r>
      <t xml:space="preserve">Soleira em pedra Goiás Amarela </t>
    </r>
    <r>
      <rPr>
        <sz val="12"/>
        <rFont val="Ecofont Vera Sans"/>
        <family val="2"/>
      </rPr>
      <t xml:space="preserve"> 20cmx100cm</t>
    </r>
  </si>
  <si>
    <r>
      <t>Telha</t>
    </r>
    <r>
      <rPr>
        <sz val="12"/>
        <rFont val="Ecofont Vera Sans"/>
        <family val="2"/>
      </rPr>
      <t xml:space="preserve"> cerâmica 43 x 28 cm, tipo Americana</t>
    </r>
  </si>
  <si>
    <r>
      <t>Cumeeira</t>
    </r>
    <r>
      <rPr>
        <sz val="12"/>
        <rFont val="Ecofont Vera Sans"/>
        <family val="2"/>
      </rPr>
      <t xml:space="preserve"> para telha cerâmica americana, emboçada com argamassa mista traço 1:2:12</t>
    </r>
  </si>
  <si>
    <r>
      <t>Tubo de PVC</t>
    </r>
    <r>
      <rPr>
        <sz val="12"/>
        <rFont val="Ecofont Vera Sans"/>
        <family val="2"/>
      </rPr>
      <t xml:space="preserve"> branco soldável, ponta e bolsa inclusive conexões</t>
    </r>
  </si>
  <si>
    <r>
      <t>Grama Santo Agostinho</t>
    </r>
    <r>
      <rPr>
        <sz val="12"/>
        <rFont val="Ecofont Vera Sans"/>
        <family val="2"/>
      </rPr>
      <t xml:space="preserve"> em placas com terra vegetal  (recobrimento) e adubo NPK </t>
    </r>
  </si>
  <si>
    <r>
      <t>m</t>
    </r>
    <r>
      <rPr>
        <vertAlign val="superscript"/>
        <sz val="12"/>
        <rFont val="Ecofont Vera Sans"/>
        <family val="2"/>
      </rPr>
      <t>2</t>
    </r>
  </si>
  <si>
    <r>
      <t>Bloco diagonal de concreto</t>
    </r>
    <r>
      <rPr>
        <sz val="12"/>
        <rFont val="Ecofont Vera Sans"/>
        <family val="2"/>
      </rPr>
      <t xml:space="preserve"> para piso drenante e plantio de grama (concregrama) - calçada</t>
    </r>
  </si>
  <si>
    <r>
      <t>Guia</t>
    </r>
    <r>
      <rPr>
        <sz val="12"/>
        <rFont val="Ecofont Vera Sans"/>
        <family val="2"/>
      </rPr>
      <t xml:space="preserve"> e sarjeta padrão PMSP 25MPa</t>
    </r>
  </si>
  <si>
    <r>
      <t>Poste baixo com luminária</t>
    </r>
    <r>
      <rPr>
        <sz val="12"/>
        <rFont val="Ecofont Vera Sans"/>
        <family val="2"/>
      </rPr>
      <t xml:space="preserve"> (balizadores) em eucalipto citriodora, roliço, diâmetro de 20 cm e altura de 1,80 m, tratado em autoclave.</t>
    </r>
  </si>
  <si>
    <r>
      <t>Guia (tentos) de eucalipto roliço</t>
    </r>
    <r>
      <rPr>
        <sz val="12"/>
        <rFont val="Ecofont Vera Sans"/>
        <family val="2"/>
      </rPr>
      <t>, tratado em autoclave com CCA diâmetro 12cm comprim. 60cm 5 peças por metro</t>
    </r>
  </si>
  <si>
    <r>
      <t>m</t>
    </r>
    <r>
      <rPr>
        <vertAlign val="superscript"/>
        <sz val="12"/>
        <rFont val="Ecofont Vera Sans"/>
        <family val="2"/>
      </rPr>
      <t>3</t>
    </r>
  </si>
  <si>
    <r>
      <t>Bougainvillea glabra</t>
    </r>
    <r>
      <rPr>
        <sz val="12"/>
        <rFont val="Ecofont Vera Sans"/>
        <family val="2"/>
      </rPr>
      <t xml:space="preserve"> (Primavera altura 2m rosa clara)</t>
    </r>
  </si>
  <si>
    <r>
      <t>Adubação</t>
    </r>
    <r>
      <rPr>
        <sz val="12"/>
        <rFont val="Ecofont Vera Sans"/>
        <family val="2"/>
      </rPr>
      <t xml:space="preserve"> das covas para árvores, palmeiras, arbustos e forrações com terra orgânica e adubos orgânicos</t>
    </r>
  </si>
  <si>
    <t>IMPLANTAÇÃO</t>
  </si>
  <si>
    <t>ESTRUTURA DE CONCRETO</t>
  </si>
  <si>
    <t>ESTRUTURA DE MADEIRA</t>
  </si>
  <si>
    <t>ARQUITETURA</t>
  </si>
  <si>
    <t>ESGOTO</t>
  </si>
  <si>
    <t>ELÉTRICA</t>
  </si>
  <si>
    <t>ÁGUAS PLUVIAIS</t>
  </si>
  <si>
    <t>PAISAGISMO</t>
  </si>
  <si>
    <t>3.7</t>
  </si>
  <si>
    <t>LED tipo compacta na cor amarela de 10W</t>
  </si>
  <si>
    <t>refletor de led 100W</t>
  </si>
  <si>
    <t>Lâmpada led base E-27 de 80W</t>
  </si>
  <si>
    <t>Água fria</t>
  </si>
  <si>
    <t>5. HIDRÁULICA</t>
  </si>
  <si>
    <t>6. ESGOTO</t>
  </si>
  <si>
    <t>7. INSTALAÇÕES ELÉTRICAS</t>
  </si>
  <si>
    <t>8. ÁGUAS PLUVIAIS/DRENAGEM</t>
  </si>
  <si>
    <t>9. PAISAGISMO / COMUNICAÇÃO VISUAL</t>
  </si>
  <si>
    <t>BDI=30%</t>
  </si>
  <si>
    <t>TT. OBRA + BDI</t>
  </si>
  <si>
    <t>ADMINISTRAÇÃO</t>
  </si>
  <si>
    <t>BDI 30%</t>
  </si>
  <si>
    <t>BDI = 30%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</si>
</sst>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name val="Courie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sz val="12"/>
      <color indexed="8"/>
      <name val="Ecofont Vera Sans"/>
      <family val="2"/>
    </font>
    <font>
      <b/>
      <sz val="12"/>
      <color indexed="8"/>
      <name val="Ecofont Vera Sans"/>
      <family val="2"/>
    </font>
    <font>
      <b/>
      <sz val="10"/>
      <name val="Ecofont Vera Sans"/>
      <family val="2"/>
    </font>
    <font>
      <sz val="10"/>
      <name val="Ecofont Vera Sans"/>
      <family val="2"/>
    </font>
    <font>
      <b/>
      <sz val="11"/>
      <name val="Ecofont Vera Sans"/>
      <family val="2"/>
    </font>
    <font>
      <b/>
      <sz val="14"/>
      <name val="Ecofont Vera Sans"/>
      <family val="2"/>
    </font>
    <font>
      <b/>
      <sz val="10"/>
      <color indexed="10"/>
      <name val="Ecofont Vera Sans"/>
      <family val="2"/>
    </font>
    <font>
      <sz val="10"/>
      <color indexed="10"/>
      <name val="Ecofont Vera Sans"/>
      <family val="2"/>
    </font>
    <font>
      <sz val="14"/>
      <name val="Ecofont Vera Sans"/>
      <family val="2"/>
    </font>
    <font>
      <sz val="14"/>
      <color indexed="10"/>
      <name val="Ecofont Vera Sans"/>
      <family val="2"/>
    </font>
    <font>
      <b/>
      <sz val="12"/>
      <color indexed="10"/>
      <name val="Ecofont Vera Sans"/>
      <family val="2"/>
    </font>
    <font>
      <sz val="12"/>
      <color indexed="10"/>
      <name val="Ecofont Vera Sans"/>
      <family val="2"/>
    </font>
    <font>
      <sz val="9"/>
      <name val="Ecofont Vera Sans"/>
      <family val="2"/>
    </font>
    <font>
      <b/>
      <sz val="9"/>
      <name val="Ecofont Vera Sans"/>
      <family val="2"/>
    </font>
    <font>
      <sz val="9"/>
      <color indexed="10"/>
      <name val="Ecofont Vera Sans"/>
      <family val="2"/>
    </font>
    <font>
      <vertAlign val="superscript"/>
      <sz val="12"/>
      <name val="Ecofont Ve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58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55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0" fillId="0" borderId="0" xfId="55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55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4" fontId="0" fillId="35" borderId="0" xfId="0" applyNumberFormat="1" applyFont="1" applyFill="1" applyBorder="1" applyAlignment="1">
      <alignment horizontal="right" vertical="center" wrapText="1"/>
    </xf>
    <xf numFmtId="4" fontId="0" fillId="35" borderId="0" xfId="55" applyNumberFormat="1" applyFont="1" applyFill="1" applyBorder="1" applyAlignment="1">
      <alignment horizontal="right" vertical="center" wrapText="1"/>
    </xf>
    <xf numFmtId="4" fontId="10" fillId="35" borderId="12" xfId="55" applyNumberFormat="1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center" vertical="center" wrapText="1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5" borderId="13" xfId="55" applyNumberFormat="1" applyFont="1" applyFill="1" applyBorder="1" applyAlignment="1">
      <alignment horizontal="right" vertical="center" wrapText="1"/>
    </xf>
    <xf numFmtId="4" fontId="9" fillId="35" borderId="14" xfId="55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2" fillId="0" borderId="0" xfId="55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0" fontId="13" fillId="36" borderId="16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left" vertical="center" wrapText="1"/>
    </xf>
    <xf numFmtId="43" fontId="13" fillId="36" borderId="16" xfId="55" applyNumberFormat="1" applyFont="1" applyFill="1" applyBorder="1" applyAlignment="1">
      <alignment horizontal="center" vertical="center"/>
    </xf>
    <xf numFmtId="43" fontId="13" fillId="36" borderId="16" xfId="55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left" vertical="center" wrapText="1"/>
    </xf>
    <xf numFmtId="4" fontId="12" fillId="0" borderId="18" xfId="55" applyNumberFormat="1" applyFont="1" applyFill="1" applyBorder="1" applyAlignment="1">
      <alignment horizontal="right" vertical="center" wrapText="1"/>
    </xf>
    <xf numFmtId="4" fontId="12" fillId="0" borderId="19" xfId="55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left" vertical="center" wrapText="1"/>
    </xf>
    <xf numFmtId="4" fontId="12" fillId="0" borderId="16" xfId="55" applyNumberFormat="1" applyFont="1" applyFill="1" applyBorder="1" applyAlignment="1">
      <alignment horizontal="right" vertical="center" wrapText="1"/>
    </xf>
    <xf numFmtId="4" fontId="12" fillId="0" borderId="21" xfId="55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12" fillId="0" borderId="23" xfId="55" applyNumberFormat="1" applyFont="1" applyFill="1" applyBorder="1" applyAlignment="1">
      <alignment horizontal="right" vertical="center" wrapText="1"/>
    </xf>
    <xf numFmtId="4" fontId="12" fillId="0" borderId="24" xfId="55" applyNumberFormat="1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left" vertical="center" wrapText="1"/>
    </xf>
    <xf numFmtId="4" fontId="12" fillId="0" borderId="26" xfId="55" applyNumberFormat="1" applyFont="1" applyFill="1" applyBorder="1" applyAlignment="1">
      <alignment horizontal="right" vertical="center" wrapText="1"/>
    </xf>
    <xf numFmtId="43" fontId="13" fillId="36" borderId="26" xfId="55" applyNumberFormat="1" applyFont="1" applyFill="1" applyBorder="1" applyAlignment="1">
      <alignment horizontal="center" vertical="center"/>
    </xf>
    <xf numFmtId="43" fontId="13" fillId="36" borderId="26" xfId="55" applyNumberFormat="1" applyFont="1" applyFill="1" applyBorder="1" applyAlignment="1">
      <alignment horizontal="right" vertical="center"/>
    </xf>
    <xf numFmtId="4" fontId="12" fillId="0" borderId="27" xfId="55" applyNumberFormat="1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left" vertical="center" wrapText="1"/>
    </xf>
    <xf numFmtId="4" fontId="12" fillId="0" borderId="29" xfId="55" applyNumberFormat="1" applyFont="1" applyFill="1" applyBorder="1" applyAlignment="1">
      <alignment horizontal="right" vertical="center" wrapText="1"/>
    </xf>
    <xf numFmtId="43" fontId="13" fillId="36" borderId="29" xfId="55" applyNumberFormat="1" applyFont="1" applyFill="1" applyBorder="1" applyAlignment="1">
      <alignment horizontal="center" vertical="center"/>
    </xf>
    <xf numFmtId="43" fontId="13" fillId="36" borderId="29" xfId="55" applyNumberFormat="1" applyFont="1" applyFill="1" applyBorder="1" applyAlignment="1">
      <alignment horizontal="right" vertical="center"/>
    </xf>
    <xf numFmtId="4" fontId="12" fillId="0" borderId="30" xfId="55" applyNumberFormat="1" applyFont="1" applyFill="1" applyBorder="1" applyAlignment="1">
      <alignment horizontal="right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4" fontId="12" fillId="34" borderId="32" xfId="55" applyNumberFormat="1" applyFont="1" applyFill="1" applyBorder="1" applyAlignment="1">
      <alignment horizontal="right" vertical="center" wrapText="1"/>
    </xf>
    <xf numFmtId="4" fontId="12" fillId="34" borderId="33" xfId="55" applyNumberFormat="1" applyFont="1" applyFill="1" applyBorder="1" applyAlignment="1">
      <alignment horizontal="right" vertical="center" wrapText="1"/>
    </xf>
    <xf numFmtId="0" fontId="14" fillId="34" borderId="32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right" vertical="center" wrapText="1"/>
    </xf>
    <xf numFmtId="4" fontId="11" fillId="34" borderId="32" xfId="55" applyNumberFormat="1" applyFont="1" applyFill="1" applyBorder="1" applyAlignment="1">
      <alignment horizontal="right" vertical="center" wrapText="1"/>
    </xf>
    <xf numFmtId="43" fontId="14" fillId="34" borderId="32" xfId="55" applyNumberFormat="1" applyFont="1" applyFill="1" applyBorder="1" applyAlignment="1">
      <alignment horizontal="center" vertical="center"/>
    </xf>
    <xf numFmtId="43" fontId="14" fillId="34" borderId="32" xfId="55" applyNumberFormat="1" applyFont="1" applyFill="1" applyBorder="1" applyAlignment="1">
      <alignment horizontal="right" vertical="center"/>
    </xf>
    <xf numFmtId="4" fontId="11" fillId="34" borderId="33" xfId="55" applyNumberFormat="1" applyFont="1" applyFill="1" applyBorder="1" applyAlignment="1">
      <alignment horizontal="right" vertical="center" wrapText="1"/>
    </xf>
    <xf numFmtId="4" fontId="8" fillId="35" borderId="12" xfId="55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left" vertical="center" wrapText="1"/>
    </xf>
    <xf numFmtId="0" fontId="12" fillId="34" borderId="32" xfId="0" applyFont="1" applyFill="1" applyBorder="1" applyAlignment="1">
      <alignment horizontal="center" vertical="center" wrapText="1"/>
    </xf>
    <xf numFmtId="4" fontId="11" fillId="34" borderId="3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4" fontId="0" fillId="0" borderId="34" xfId="55" applyNumberFormat="1" applyFont="1" applyFill="1" applyBorder="1" applyAlignment="1">
      <alignment horizontal="right" vertical="center" wrapText="1"/>
    </xf>
    <xf numFmtId="4" fontId="0" fillId="0" borderId="35" xfId="55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" fontId="11" fillId="35" borderId="12" xfId="55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vertical="center" wrapText="1"/>
    </xf>
    <xf numFmtId="2" fontId="11" fillId="35" borderId="36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 wrapText="1"/>
    </xf>
    <xf numFmtId="2" fontId="12" fillId="0" borderId="12" xfId="0" applyNumberFormat="1" applyFont="1" applyFill="1" applyBorder="1" applyAlignment="1">
      <alignment horizontal="right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left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43" fontId="13" fillId="36" borderId="18" xfId="55" applyNumberFormat="1" applyFont="1" applyFill="1" applyBorder="1" applyAlignment="1">
      <alignment horizontal="center" vertical="center"/>
    </xf>
    <xf numFmtId="43" fontId="13" fillId="36" borderId="18" xfId="55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right" vertical="center" wrapText="1"/>
    </xf>
    <xf numFmtId="2" fontId="11" fillId="34" borderId="32" xfId="0" applyNumberFormat="1" applyFont="1" applyFill="1" applyBorder="1" applyAlignment="1">
      <alignment horizontal="center" vertical="center" wrapText="1"/>
    </xf>
    <xf numFmtId="2" fontId="11" fillId="34" borderId="32" xfId="0" applyNumberFormat="1" applyFont="1" applyFill="1" applyBorder="1" applyAlignment="1">
      <alignment horizontal="right" vertical="center" wrapText="1"/>
    </xf>
    <xf numFmtId="4" fontId="11" fillId="34" borderId="32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right" vertical="center" wrapText="1"/>
    </xf>
    <xf numFmtId="4" fontId="12" fillId="0" borderId="34" xfId="0" applyNumberFormat="1" applyFont="1" applyFill="1" applyBorder="1" applyAlignment="1">
      <alignment vertical="center" wrapText="1"/>
    </xf>
    <xf numFmtId="4" fontId="12" fillId="0" borderId="34" xfId="55" applyNumberFormat="1" applyFont="1" applyFill="1" applyBorder="1" applyAlignment="1">
      <alignment horizontal="right" vertical="center" wrapText="1"/>
    </xf>
    <xf numFmtId="4" fontId="12" fillId="0" borderId="35" xfId="55" applyNumberFormat="1" applyFont="1" applyFill="1" applyBorder="1" applyAlignment="1">
      <alignment horizontal="right" vertical="center" wrapText="1"/>
    </xf>
    <xf numFmtId="1" fontId="11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2" fontId="12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2" fontId="12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left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2" fontId="12" fillId="0" borderId="26" xfId="55" applyNumberFormat="1" applyFont="1" applyFill="1" applyBorder="1" applyAlignment="1" applyProtection="1">
      <alignment horizontal="center" vertical="center" wrapText="1"/>
      <protection locked="0"/>
    </xf>
    <xf numFmtId="191" fontId="12" fillId="0" borderId="26" xfId="55" applyFont="1" applyFill="1" applyBorder="1" applyAlignment="1" applyProtection="1">
      <alignment horizontal="right" vertical="center" wrapText="1"/>
      <protection locked="0"/>
    </xf>
    <xf numFmtId="4" fontId="12" fillId="0" borderId="26" xfId="55" applyNumberFormat="1" applyFont="1" applyFill="1" applyBorder="1" applyAlignment="1" applyProtection="1">
      <alignment vertical="center" wrapText="1"/>
      <protection locked="0"/>
    </xf>
    <xf numFmtId="2" fontId="11" fillId="34" borderId="32" xfId="55" applyNumberFormat="1" applyFont="1" applyFill="1" applyBorder="1" applyAlignment="1" applyProtection="1">
      <alignment horizontal="center" vertical="center" wrapText="1"/>
      <protection locked="0"/>
    </xf>
    <xf numFmtId="191" fontId="11" fillId="34" borderId="32" xfId="55" applyFont="1" applyFill="1" applyBorder="1" applyAlignment="1" applyProtection="1">
      <alignment horizontal="right" vertical="center" wrapText="1"/>
      <protection locked="0"/>
    </xf>
    <xf numFmtId="4" fontId="11" fillId="34" borderId="32" xfId="55" applyNumberFormat="1" applyFont="1" applyFill="1" applyBorder="1" applyAlignment="1" applyProtection="1">
      <alignment vertical="center" wrapText="1"/>
      <protection locked="0"/>
    </xf>
    <xf numFmtId="0" fontId="12" fillId="13" borderId="11" xfId="0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 quotePrefix="1">
      <alignment horizontal="left" vertical="center" wrapText="1"/>
    </xf>
    <xf numFmtId="2" fontId="12" fillId="0" borderId="27" xfId="0" applyNumberFormat="1" applyFont="1" applyFill="1" applyBorder="1" applyAlignment="1">
      <alignment horizontal="right" vertical="center" wrapText="1"/>
    </xf>
    <xf numFmtId="2" fontId="12" fillId="34" borderId="32" xfId="0" applyNumberFormat="1" applyFont="1" applyFill="1" applyBorder="1" applyAlignment="1">
      <alignment horizontal="center" vertical="center" wrapText="1"/>
    </xf>
    <xf numFmtId="2" fontId="12" fillId="34" borderId="32" xfId="0" applyNumberFormat="1" applyFont="1" applyFill="1" applyBorder="1" applyAlignment="1">
      <alignment horizontal="right" vertical="center" wrapText="1"/>
    </xf>
    <xf numFmtId="4" fontId="12" fillId="34" borderId="32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26" xfId="0" applyFont="1" applyFill="1" applyBorder="1" applyAlignment="1" quotePrefix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2" fontId="12" fillId="0" borderId="18" xfId="51" applyNumberFormat="1" applyFont="1" applyFill="1" applyBorder="1" applyAlignment="1">
      <alignment horizontal="center" vertical="center" wrapText="1"/>
      <protection/>
    </xf>
    <xf numFmtId="4" fontId="12" fillId="0" borderId="18" xfId="51" applyNumberFormat="1" applyFont="1" applyFill="1" applyBorder="1" applyAlignment="1">
      <alignment horizontal="right" vertical="center" wrapText="1"/>
      <protection/>
    </xf>
    <xf numFmtId="4" fontId="12" fillId="0" borderId="18" xfId="55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2" fontId="12" fillId="0" borderId="16" xfId="51" applyNumberFormat="1" applyFont="1" applyFill="1" applyBorder="1" applyAlignment="1">
      <alignment horizontal="center" vertical="center" wrapText="1"/>
      <protection/>
    </xf>
    <xf numFmtId="4" fontId="12" fillId="0" borderId="16" xfId="51" applyNumberFormat="1" applyFont="1" applyFill="1" applyBorder="1" applyAlignment="1">
      <alignment horizontal="right" vertical="center" wrapText="1"/>
      <protection/>
    </xf>
    <xf numFmtId="4" fontId="12" fillId="0" borderId="16" xfId="55" applyNumberFormat="1" applyFont="1" applyFill="1" applyBorder="1" applyAlignment="1">
      <alignment vertical="center" wrapText="1"/>
    </xf>
    <xf numFmtId="0" fontId="12" fillId="0" borderId="20" xfId="0" applyFont="1" applyBorder="1" applyAlignment="1">
      <alignment horizontal="right"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22" xfId="0" applyFont="1" applyBorder="1" applyAlignment="1">
      <alignment horizontal="right"/>
    </xf>
    <xf numFmtId="0" fontId="11" fillId="35" borderId="0" xfId="0" applyFont="1" applyFill="1" applyBorder="1" applyAlignment="1">
      <alignment horizontal="center" vertical="center" wrapText="1"/>
    </xf>
    <xf numFmtId="4" fontId="11" fillId="35" borderId="0" xfId="0" applyNumberFormat="1" applyFont="1" applyFill="1" applyBorder="1" applyAlignment="1">
      <alignment horizontal="center" vertical="center" wrapText="1"/>
    </xf>
    <xf numFmtId="2" fontId="11" fillId="35" borderId="0" xfId="0" applyNumberFormat="1" applyFont="1" applyFill="1" applyBorder="1" applyAlignment="1">
      <alignment horizontal="right" vertical="center" wrapText="1"/>
    </xf>
    <xf numFmtId="4" fontId="11" fillId="35" borderId="0" xfId="0" applyNumberFormat="1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4" fontId="11" fillId="35" borderId="12" xfId="53" applyNumberFormat="1" applyFont="1" applyFill="1" applyBorder="1" applyAlignment="1">
      <alignment horizontal="right" vertical="center" wrapText="1"/>
    </xf>
    <xf numFmtId="0" fontId="11" fillId="35" borderId="13" xfId="0" applyFont="1" applyFill="1" applyBorder="1" applyAlignment="1">
      <alignment horizontal="center" vertical="center" wrapText="1"/>
    </xf>
    <xf numFmtId="4" fontId="11" fillId="35" borderId="13" xfId="0" applyNumberFormat="1" applyFont="1" applyFill="1" applyBorder="1" applyAlignment="1">
      <alignment horizontal="center" vertical="center" wrapText="1"/>
    </xf>
    <xf numFmtId="2" fontId="11" fillId="35" borderId="13" xfId="0" applyNumberFormat="1" applyFont="1" applyFill="1" applyBorder="1" applyAlignment="1">
      <alignment horizontal="right" vertical="center" wrapText="1"/>
    </xf>
    <xf numFmtId="4" fontId="11" fillId="35" borderId="13" xfId="0" applyNumberFormat="1" applyFont="1" applyFill="1" applyBorder="1" applyAlignment="1">
      <alignment vertical="center" wrapText="1"/>
    </xf>
    <xf numFmtId="0" fontId="11" fillId="35" borderId="13" xfId="0" applyFont="1" applyFill="1" applyBorder="1" applyAlignment="1">
      <alignment vertical="center" wrapText="1"/>
    </xf>
    <xf numFmtId="4" fontId="11" fillId="35" borderId="14" xfId="55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/>
    </xf>
    <xf numFmtId="2" fontId="12" fillId="0" borderId="26" xfId="51" applyNumberFormat="1" applyFont="1" applyFill="1" applyBorder="1" applyAlignment="1">
      <alignment horizontal="center" vertical="center" wrapText="1"/>
      <protection/>
    </xf>
    <xf numFmtId="4" fontId="12" fillId="0" borderId="26" xfId="51" applyNumberFormat="1" applyFont="1" applyFill="1" applyBorder="1" applyAlignment="1">
      <alignment horizontal="right" vertical="center" wrapText="1"/>
      <protection/>
    </xf>
    <xf numFmtId="0" fontId="12" fillId="0" borderId="26" xfId="0" applyFont="1" applyFill="1" applyBorder="1" applyAlignment="1">
      <alignment horizontal="center"/>
    </xf>
    <xf numFmtId="4" fontId="12" fillId="0" borderId="26" xfId="0" applyNumberFormat="1" applyFont="1" applyFill="1" applyBorder="1" applyAlignment="1">
      <alignment/>
    </xf>
    <xf numFmtId="0" fontId="12" fillId="0" borderId="34" xfId="0" applyFont="1" applyFill="1" applyBorder="1" applyAlignment="1">
      <alignment/>
    </xf>
    <xf numFmtId="2" fontId="12" fillId="0" borderId="34" xfId="51" applyNumberFormat="1" applyFont="1" applyFill="1" applyBorder="1" applyAlignment="1">
      <alignment horizontal="center" vertical="center" wrapText="1"/>
      <protection/>
    </xf>
    <xf numFmtId="4" fontId="12" fillId="0" borderId="34" xfId="51" applyNumberFormat="1" applyFont="1" applyFill="1" applyBorder="1" applyAlignment="1">
      <alignment horizontal="right" vertical="center" wrapText="1"/>
      <protection/>
    </xf>
    <xf numFmtId="0" fontId="12" fillId="0" borderId="34" xfId="0" applyFont="1" applyFill="1" applyBorder="1" applyAlignment="1">
      <alignment horizontal="center"/>
    </xf>
    <xf numFmtId="4" fontId="12" fillId="0" borderId="34" xfId="0" applyNumberFormat="1" applyFont="1" applyFill="1" applyBorder="1" applyAlignment="1">
      <alignment/>
    </xf>
    <xf numFmtId="4" fontId="11" fillId="13" borderId="11" xfId="0" applyNumberFormat="1" applyFont="1" applyFill="1" applyBorder="1" applyAlignment="1">
      <alignment horizontal="justify" vertical="center" wrapText="1"/>
    </xf>
    <xf numFmtId="4" fontId="12" fillId="13" borderId="11" xfId="55" applyNumberFormat="1" applyFont="1" applyFill="1" applyBorder="1" applyAlignment="1">
      <alignment horizontal="right" vertical="center" wrapText="1"/>
    </xf>
    <xf numFmtId="4" fontId="12" fillId="13" borderId="36" xfId="55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12" fillId="0" borderId="16" xfId="51" applyNumberFormat="1" applyFont="1" applyFill="1" applyBorder="1" applyAlignment="1" applyProtection="1">
      <alignment horizontal="left" vertical="center" wrapText="1"/>
      <protection/>
    </xf>
    <xf numFmtId="4" fontId="11" fillId="35" borderId="11" xfId="55" applyNumberFormat="1" applyFont="1" applyFill="1" applyBorder="1" applyAlignment="1">
      <alignment horizontal="right" vertical="center" wrapText="1"/>
    </xf>
    <xf numFmtId="4" fontId="11" fillId="34" borderId="36" xfId="55" applyNumberFormat="1" applyFont="1" applyFill="1" applyBorder="1" applyAlignment="1">
      <alignment horizontal="right" vertical="center" wrapText="1"/>
    </xf>
    <xf numFmtId="0" fontId="11" fillId="35" borderId="38" xfId="0" applyFont="1" applyFill="1" applyBorder="1" applyAlignment="1">
      <alignment horizontal="center" vertical="center" wrapText="1"/>
    </xf>
    <xf numFmtId="4" fontId="11" fillId="35" borderId="38" xfId="55" applyNumberFormat="1" applyFont="1" applyFill="1" applyBorder="1" applyAlignment="1">
      <alignment horizontal="right" vertical="center" wrapText="1"/>
    </xf>
    <xf numFmtId="4" fontId="11" fillId="35" borderId="39" xfId="55" applyNumberFormat="1" applyFont="1" applyFill="1" applyBorder="1" applyAlignment="1">
      <alignment horizontal="right" vertical="center" wrapText="1"/>
    </xf>
    <xf numFmtId="4" fontId="11" fillId="35" borderId="0" xfId="55" applyNumberFormat="1" applyFont="1" applyFill="1" applyBorder="1" applyAlignment="1">
      <alignment horizontal="right" vertical="center" wrapText="1"/>
    </xf>
    <xf numFmtId="4" fontId="11" fillId="35" borderId="13" xfId="55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43" fontId="13" fillId="0" borderId="16" xfId="55" applyNumberFormat="1" applyFont="1" applyFill="1" applyBorder="1" applyAlignment="1">
      <alignment horizontal="center" vertical="center"/>
    </xf>
    <xf numFmtId="43" fontId="13" fillId="0" borderId="16" xfId="55" applyNumberFormat="1" applyFont="1" applyFill="1" applyBorder="1" applyAlignment="1">
      <alignment horizontal="right" vertical="center"/>
    </xf>
    <xf numFmtId="0" fontId="11" fillId="13" borderId="31" xfId="0" applyFont="1" applyFill="1" applyBorder="1" applyAlignment="1">
      <alignment horizontal="center" vertical="center" wrapText="1"/>
    </xf>
    <xf numFmtId="0" fontId="12" fillId="13" borderId="3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wrapText="1"/>
    </xf>
    <xf numFmtId="43" fontId="13" fillId="0" borderId="29" xfId="55" applyNumberFormat="1" applyFont="1" applyFill="1" applyBorder="1" applyAlignment="1">
      <alignment horizontal="center" vertical="center"/>
    </xf>
    <xf numFmtId="43" fontId="13" fillId="0" borderId="29" xfId="55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 wrapText="1"/>
    </xf>
    <xf numFmtId="2" fontId="12" fillId="0" borderId="16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center" vertical="center" wrapText="1"/>
    </xf>
    <xf numFmtId="4" fontId="11" fillId="13" borderId="11" xfId="0" applyNumberFormat="1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3" fontId="13" fillId="0" borderId="18" xfId="55" applyNumberFormat="1" applyFont="1" applyFill="1" applyBorder="1" applyAlignment="1">
      <alignment horizontal="center" vertical="center"/>
    </xf>
    <xf numFmtId="43" fontId="13" fillId="0" borderId="18" xfId="55" applyNumberFormat="1" applyFont="1" applyFill="1" applyBorder="1" applyAlignment="1">
      <alignment horizontal="right" vertical="center"/>
    </xf>
    <xf numFmtId="4" fontId="11" fillId="0" borderId="16" xfId="0" applyNumberFormat="1" applyFont="1" applyFill="1" applyBorder="1" applyAlignment="1">
      <alignment horizontal="lef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4" fontId="1" fillId="0" borderId="35" xfId="55" applyNumberFormat="1" applyFont="1" applyFill="1" applyBorder="1" applyAlignment="1">
      <alignment horizontal="right" vertical="center" wrapText="1"/>
    </xf>
    <xf numFmtId="4" fontId="11" fillId="34" borderId="31" xfId="0" applyNumberFormat="1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2" fillId="0" borderId="26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left" vertical="center" wrapText="1"/>
    </xf>
    <xf numFmtId="4" fontId="11" fillId="0" borderId="34" xfId="0" applyNumberFormat="1" applyFont="1" applyFill="1" applyBorder="1" applyAlignment="1">
      <alignment horizontal="right" vertical="center" wrapText="1"/>
    </xf>
    <xf numFmtId="4" fontId="12" fillId="0" borderId="34" xfId="0" applyNumberFormat="1" applyFont="1" applyFill="1" applyBorder="1" applyAlignment="1">
      <alignment horizontal="left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left" vertical="center" wrapText="1"/>
    </xf>
    <xf numFmtId="4" fontId="11" fillId="0" borderId="34" xfId="0" applyNumberFormat="1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left" vertical="center" wrapText="1"/>
    </xf>
    <xf numFmtId="4" fontId="12" fillId="0" borderId="41" xfId="55" applyNumberFormat="1" applyFont="1" applyFill="1" applyBorder="1" applyAlignment="1">
      <alignment horizontal="right" vertical="center" wrapText="1"/>
    </xf>
    <xf numFmtId="4" fontId="12" fillId="0" borderId="42" xfId="55" applyNumberFormat="1" applyFont="1" applyFill="1" applyBorder="1" applyAlignment="1">
      <alignment horizontal="right" vertical="center" wrapText="1"/>
    </xf>
    <xf numFmtId="0" fontId="11" fillId="13" borderId="32" xfId="0" applyFont="1" applyFill="1" applyBorder="1" applyAlignment="1">
      <alignment horizontal="center" vertical="center" wrapText="1"/>
    </xf>
    <xf numFmtId="4" fontId="12" fillId="13" borderId="18" xfId="55" applyNumberFormat="1" applyFont="1" applyFill="1" applyBorder="1" applyAlignment="1">
      <alignment horizontal="right" vertical="center" wrapText="1"/>
    </xf>
    <xf numFmtId="4" fontId="12" fillId="13" borderId="19" xfId="55" applyNumberFormat="1" applyFont="1" applyFill="1" applyBorder="1" applyAlignment="1">
      <alignment horizontal="right" vertical="center" wrapText="1"/>
    </xf>
    <xf numFmtId="2" fontId="11" fillId="0" borderId="29" xfId="51" applyNumberFormat="1" applyFont="1" applyFill="1" applyBorder="1" applyAlignment="1" applyProtection="1">
      <alignment horizontal="left" vertical="center" wrapText="1"/>
      <protection/>
    </xf>
    <xf numFmtId="2" fontId="12" fillId="0" borderId="29" xfId="51" applyNumberFormat="1" applyFont="1" applyFill="1" applyBorder="1" applyAlignment="1">
      <alignment horizontal="center" vertical="center" wrapText="1"/>
      <protection/>
    </xf>
    <xf numFmtId="2" fontId="12" fillId="0" borderId="26" xfId="51" applyNumberFormat="1" applyFont="1" applyFill="1" applyBorder="1" applyAlignment="1" applyProtection="1">
      <alignment horizontal="left" vertical="center" wrapText="1"/>
      <protection/>
    </xf>
    <xf numFmtId="4" fontId="11" fillId="13" borderId="18" xfId="0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4" fontId="11" fillId="0" borderId="34" xfId="0" applyNumberFormat="1" applyFont="1" applyFill="1" applyBorder="1" applyAlignment="1">
      <alignment vertical="center" wrapText="1"/>
    </xf>
    <xf numFmtId="0" fontId="11" fillId="34" borderId="32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left" vertical="center" wrapText="1"/>
    </xf>
    <xf numFmtId="0" fontId="11" fillId="13" borderId="1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 wrapText="1"/>
    </xf>
    <xf numFmtId="4" fontId="11" fillId="0" borderId="34" xfId="55" applyNumberFormat="1" applyFont="1" applyFill="1" applyBorder="1" applyAlignment="1">
      <alignment horizontal="right" vertical="center" wrapText="1"/>
    </xf>
    <xf numFmtId="4" fontId="11" fillId="0" borderId="35" xfId="55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34" borderId="32" xfId="0" applyFont="1" applyFill="1" applyBorder="1" applyAlignment="1">
      <alignment vertical="center" wrapText="1"/>
    </xf>
    <xf numFmtId="4" fontId="11" fillId="34" borderId="33" xfId="0" applyNumberFormat="1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4" fontId="12" fillId="35" borderId="0" xfId="55" applyNumberFormat="1" applyFont="1" applyFill="1" applyBorder="1" applyAlignment="1">
      <alignment horizontal="right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55" applyNumberFormat="1" applyFont="1" applyFill="1" applyBorder="1" applyAlignment="1">
      <alignment horizontal="right" vertical="center" wrapText="1"/>
    </xf>
    <xf numFmtId="4" fontId="11" fillId="35" borderId="11" xfId="55" applyNumberFormat="1" applyFont="1" applyFill="1" applyBorder="1" applyAlignment="1">
      <alignment horizontal="center" vertical="center" wrapText="1"/>
    </xf>
    <xf numFmtId="4" fontId="11" fillId="35" borderId="36" xfId="55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horizontal="left" vertical="center" wrapText="1"/>
    </xf>
    <xf numFmtId="4" fontId="12" fillId="0" borderId="0" xfId="55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16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1" fillId="0" borderId="37" xfId="0" applyFont="1" applyFill="1" applyBorder="1" applyAlignment="1">
      <alignment horizontal="center" vertical="center" wrapText="1"/>
    </xf>
    <xf numFmtId="2" fontId="11" fillId="0" borderId="34" xfId="51" applyNumberFormat="1" applyFont="1" applyFill="1" applyBorder="1" applyAlignment="1" applyProtection="1">
      <alignment horizontal="right" vertical="center" wrapText="1"/>
      <protection/>
    </xf>
    <xf numFmtId="2" fontId="11" fillId="34" borderId="31" xfId="51" applyNumberFormat="1" applyFont="1" applyFill="1" applyBorder="1" applyAlignment="1" applyProtection="1">
      <alignment horizontal="right" vertical="center" wrapText="1"/>
      <protection/>
    </xf>
    <xf numFmtId="4" fontId="11" fillId="34" borderId="32" xfId="51" applyNumberFormat="1" applyFont="1" applyFill="1" applyBorder="1" applyAlignment="1">
      <alignment horizontal="right" vertical="center" wrapText="1"/>
      <protection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13" borderId="18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top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18" xfId="0" applyFont="1" applyBorder="1" applyAlignment="1" quotePrefix="1">
      <alignment horizontal="justify" vertical="top" wrapText="1"/>
    </xf>
    <xf numFmtId="0" fontId="12" fillId="0" borderId="16" xfId="0" applyFont="1" applyBorder="1" applyAlignment="1" quotePrefix="1">
      <alignment horizontal="justify" vertical="top" wrapText="1"/>
    </xf>
    <xf numFmtId="4" fontId="12" fillId="0" borderId="16" xfId="0" applyNumberFormat="1" applyFont="1" applyFill="1" applyBorder="1" applyAlignment="1">
      <alignment horizontal="justify" vertical="center" wrapText="1"/>
    </xf>
    <xf numFmtId="4" fontId="12" fillId="0" borderId="26" xfId="0" applyNumberFormat="1" applyFont="1" applyFill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4" fontId="12" fillId="35" borderId="16" xfId="55" applyNumberFormat="1" applyFont="1" applyFill="1" applyBorder="1" applyAlignment="1">
      <alignment horizontal="right" vertical="center" wrapText="1"/>
    </xf>
    <xf numFmtId="0" fontId="12" fillId="0" borderId="34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2" fontId="12" fillId="0" borderId="18" xfId="0" applyNumberFormat="1" applyFont="1" applyFill="1" applyBorder="1" applyAlignment="1">
      <alignment horizontal="right" vertical="center" wrapText="1"/>
    </xf>
    <xf numFmtId="4" fontId="12" fillId="0" borderId="34" xfId="0" applyNumberFormat="1" applyFont="1" applyFill="1" applyBorder="1" applyAlignment="1">
      <alignment horizontal="right" vertical="center" wrapText="1"/>
    </xf>
    <xf numFmtId="0" fontId="12" fillId="35" borderId="0" xfId="0" applyFont="1" applyFill="1" applyBorder="1" applyAlignment="1">
      <alignment horizontal="center" vertical="top" wrapText="1"/>
    </xf>
    <xf numFmtId="2" fontId="12" fillId="35" borderId="0" xfId="0" applyNumberFormat="1" applyFont="1" applyFill="1" applyBorder="1" applyAlignment="1">
      <alignment horizontal="right" vertical="top" wrapText="1"/>
    </xf>
    <xf numFmtId="0" fontId="12" fillId="35" borderId="0" xfId="0" applyFont="1" applyFill="1" applyBorder="1" applyAlignment="1">
      <alignment/>
    </xf>
    <xf numFmtId="4" fontId="11" fillId="35" borderId="12" xfId="53" applyNumberFormat="1" applyFont="1" applyFill="1" applyBorder="1" applyAlignment="1">
      <alignment horizontal="right" vertical="top" wrapText="1"/>
    </xf>
    <xf numFmtId="0" fontId="12" fillId="35" borderId="38" xfId="0" applyFont="1" applyFill="1" applyBorder="1" applyAlignment="1">
      <alignment horizontal="center" vertical="top" wrapText="1"/>
    </xf>
    <xf numFmtId="2" fontId="12" fillId="35" borderId="38" xfId="0" applyNumberFormat="1" applyFont="1" applyFill="1" applyBorder="1" applyAlignment="1">
      <alignment horizontal="right" vertical="top" wrapText="1"/>
    </xf>
    <xf numFmtId="0" fontId="12" fillId="35" borderId="38" xfId="0" applyFont="1" applyFill="1" applyBorder="1" applyAlignment="1">
      <alignment/>
    </xf>
    <xf numFmtId="4" fontId="11" fillId="35" borderId="39" xfId="55" applyNumberFormat="1" applyFont="1" applyFill="1" applyBorder="1" applyAlignment="1">
      <alignment horizontal="right" vertical="top" wrapText="1"/>
    </xf>
    <xf numFmtId="0" fontId="12" fillId="35" borderId="13" xfId="0" applyFont="1" applyFill="1" applyBorder="1" applyAlignment="1">
      <alignment horizontal="center" vertical="top" wrapText="1"/>
    </xf>
    <xf numFmtId="2" fontId="12" fillId="35" borderId="13" xfId="0" applyNumberFormat="1" applyFont="1" applyFill="1" applyBorder="1" applyAlignment="1">
      <alignment horizontal="right" vertical="top" wrapText="1"/>
    </xf>
    <xf numFmtId="0" fontId="12" fillId="35" borderId="13" xfId="0" applyFont="1" applyFill="1" applyBorder="1" applyAlignment="1">
      <alignment/>
    </xf>
    <xf numFmtId="4" fontId="11" fillId="35" borderId="14" xfId="55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4" fontId="11" fillId="35" borderId="36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4" fontId="24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left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0" borderId="0" xfId="0" applyNumberFormat="1" applyFont="1" applyAlignment="1">
      <alignment horizontal="right"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4" fontId="12" fillId="0" borderId="19" xfId="55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 quotePrefix="1">
      <alignment horizontal="left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right" vertical="center" wrapText="1"/>
    </xf>
    <xf numFmtId="4" fontId="12" fillId="0" borderId="16" xfId="55" applyNumberFormat="1" applyFont="1" applyBorder="1" applyAlignment="1">
      <alignment horizontal="right" vertical="center" wrapText="1"/>
    </xf>
    <xf numFmtId="4" fontId="12" fillId="0" borderId="21" xfId="55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 quotePrefix="1">
      <alignment horizontal="left" vertical="center" wrapText="1"/>
    </xf>
    <xf numFmtId="1" fontId="12" fillId="0" borderId="26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right" vertical="center" wrapText="1"/>
    </xf>
    <xf numFmtId="4" fontId="12" fillId="0" borderId="26" xfId="55" applyNumberFormat="1" applyFont="1" applyBorder="1" applyAlignment="1">
      <alignment horizontal="right" vertical="center" wrapText="1"/>
    </xf>
    <xf numFmtId="4" fontId="12" fillId="0" borderId="27" xfId="55" applyNumberFormat="1" applyFont="1" applyBorder="1" applyAlignment="1">
      <alignment horizontal="righ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4" fontId="12" fillId="0" borderId="30" xfId="55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2" fontId="12" fillId="0" borderId="29" xfId="0" applyNumberFormat="1" applyFont="1" applyBorder="1" applyAlignment="1">
      <alignment horizontal="right" vertical="center" wrapText="1"/>
    </xf>
    <xf numFmtId="4" fontId="12" fillId="0" borderId="29" xfId="55" applyNumberFormat="1" applyFont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 quotePrefix="1">
      <alignment horizontal="left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right" vertical="center" wrapText="1"/>
    </xf>
    <xf numFmtId="4" fontId="24" fillId="0" borderId="26" xfId="55" applyNumberFormat="1" applyFont="1" applyBorder="1" applyAlignment="1">
      <alignment horizontal="right" vertical="center" wrapText="1"/>
    </xf>
    <xf numFmtId="4" fontId="24" fillId="0" borderId="27" xfId="55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2" fontId="12" fillId="35" borderId="0" xfId="0" applyNumberFormat="1" applyFont="1" applyFill="1" applyBorder="1" applyAlignment="1">
      <alignment horizontal="center" vertical="center" wrapText="1"/>
    </xf>
    <xf numFmtId="2" fontId="12" fillId="35" borderId="0" xfId="0" applyNumberFormat="1" applyFont="1" applyFill="1" applyBorder="1" applyAlignment="1">
      <alignment horizontal="right" vertical="center" wrapText="1"/>
    </xf>
    <xf numFmtId="0" fontId="12" fillId="35" borderId="0" xfId="0" applyFont="1" applyFill="1" applyBorder="1" applyAlignment="1">
      <alignment vertical="center"/>
    </xf>
    <xf numFmtId="0" fontId="24" fillId="0" borderId="26" xfId="0" applyFont="1" applyBorder="1" applyAlignment="1">
      <alignment horizontal="left" vertical="center" wrapText="1"/>
    </xf>
    <xf numFmtId="0" fontId="12" fillId="35" borderId="38" xfId="0" applyFont="1" applyFill="1" applyBorder="1" applyAlignment="1">
      <alignment horizontal="center" vertical="center" wrapText="1"/>
    </xf>
    <xf numFmtId="2" fontId="12" fillId="35" borderId="38" xfId="0" applyNumberFormat="1" applyFont="1" applyFill="1" applyBorder="1" applyAlignment="1">
      <alignment horizontal="center" vertical="center" wrapText="1"/>
    </xf>
    <xf numFmtId="2" fontId="12" fillId="35" borderId="38" xfId="0" applyNumberFormat="1" applyFont="1" applyFill="1" applyBorder="1" applyAlignment="1">
      <alignment horizontal="right" vertical="center" wrapText="1"/>
    </xf>
    <xf numFmtId="0" fontId="12" fillId="35" borderId="38" xfId="0" applyFont="1" applyFill="1" applyBorder="1" applyAlignment="1">
      <alignment vertical="center"/>
    </xf>
    <xf numFmtId="4" fontId="11" fillId="35" borderId="39" xfId="0" applyNumberFormat="1" applyFont="1" applyFill="1" applyBorder="1" applyAlignment="1">
      <alignment horizontal="right" vertical="center" wrapText="1"/>
    </xf>
    <xf numFmtId="2" fontId="12" fillId="35" borderId="13" xfId="0" applyNumberFormat="1" applyFont="1" applyFill="1" applyBorder="1" applyAlignment="1">
      <alignment horizontal="center" vertical="center" wrapText="1"/>
    </xf>
    <xf numFmtId="2" fontId="12" fillId="35" borderId="13" xfId="0" applyNumberFormat="1" applyFont="1" applyFill="1" applyBorder="1" applyAlignment="1">
      <alignment horizontal="right" vertical="center" wrapText="1"/>
    </xf>
    <xf numFmtId="0" fontId="12" fillId="35" borderId="13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0" fontId="12" fillId="35" borderId="18" xfId="0" applyFont="1" applyFill="1" applyBorder="1" applyAlignment="1">
      <alignment horizontal="center" vertical="center" wrapText="1"/>
    </xf>
    <xf numFmtId="4" fontId="12" fillId="35" borderId="18" xfId="55" applyNumberFormat="1" applyFont="1" applyFill="1" applyBorder="1" applyAlignment="1">
      <alignment horizontal="right" vertical="center" wrapText="1"/>
    </xf>
    <xf numFmtId="4" fontId="11" fillId="35" borderId="19" xfId="55" applyNumberFormat="1" applyFont="1" applyFill="1" applyBorder="1" applyAlignment="1">
      <alignment horizontal="right" vertical="center" wrapText="1"/>
    </xf>
    <xf numFmtId="0" fontId="12" fillId="35" borderId="16" xfId="0" applyFont="1" applyFill="1" applyBorder="1" applyAlignment="1">
      <alignment horizontal="center" vertical="center" wrapText="1"/>
    </xf>
    <xf numFmtId="4" fontId="11" fillId="35" borderId="21" xfId="53" applyNumberFormat="1" applyFont="1" applyFill="1" applyBorder="1" applyAlignment="1">
      <alignment horizontal="right" vertical="center" wrapText="1"/>
    </xf>
    <xf numFmtId="0" fontId="12" fillId="35" borderId="23" xfId="0" applyFont="1" applyFill="1" applyBorder="1" applyAlignment="1">
      <alignment horizontal="center" vertical="center" wrapText="1"/>
    </xf>
    <xf numFmtId="4" fontId="12" fillId="35" borderId="23" xfId="55" applyNumberFormat="1" applyFont="1" applyFill="1" applyBorder="1" applyAlignment="1">
      <alignment horizontal="right" vertical="center" wrapText="1"/>
    </xf>
    <xf numFmtId="4" fontId="11" fillId="35" borderId="24" xfId="55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11" fillId="0" borderId="16" xfId="51" applyFont="1" applyFill="1" applyBorder="1" applyAlignment="1" applyProtection="1">
      <alignment horizontal="center" vertical="center" wrapText="1"/>
      <protection/>
    </xf>
    <xf numFmtId="0" fontId="11" fillId="0" borderId="16" xfId="51" applyFont="1" applyBorder="1" applyAlignment="1" applyProtection="1">
      <alignment horizontal="center" vertical="center" wrapText="1"/>
      <protection/>
    </xf>
    <xf numFmtId="0" fontId="11" fillId="0" borderId="16" xfId="51" applyFont="1" applyBorder="1" applyAlignment="1">
      <alignment vertical="center" wrapText="1"/>
      <protection/>
    </xf>
    <xf numFmtId="4" fontId="11" fillId="0" borderId="16" xfId="0" applyNumberFormat="1" applyFont="1" applyFill="1" applyBorder="1" applyAlignment="1">
      <alignment horizontal="justify" vertical="center" wrapText="1"/>
    </xf>
    <xf numFmtId="0" fontId="11" fillId="0" borderId="20" xfId="51" applyFont="1" applyFill="1" applyBorder="1" applyAlignment="1">
      <alignment horizontal="center" vertical="center" wrapText="1"/>
      <protection/>
    </xf>
    <xf numFmtId="0" fontId="12" fillId="0" borderId="16" xfId="51" applyFont="1" applyFill="1" applyBorder="1" applyAlignment="1">
      <alignment horizontal="left" vertical="center" wrapText="1"/>
      <protection/>
    </xf>
    <xf numFmtId="0" fontId="11" fillId="13" borderId="32" xfId="51" applyFont="1" applyFill="1" applyBorder="1" applyAlignment="1" applyProtection="1">
      <alignment horizontal="center" vertical="center" wrapText="1"/>
      <protection/>
    </xf>
    <xf numFmtId="4" fontId="11" fillId="0" borderId="29" xfId="0" applyNumberFormat="1" applyFont="1" applyFill="1" applyBorder="1" applyAlignment="1">
      <alignment vertical="center" wrapText="1"/>
    </xf>
    <xf numFmtId="0" fontId="11" fillId="0" borderId="18" xfId="51" applyFont="1" applyFill="1" applyBorder="1" applyAlignment="1" applyProtection="1">
      <alignment horizontal="center" vertical="center" wrapText="1"/>
      <protection/>
    </xf>
    <xf numFmtId="0" fontId="11" fillId="0" borderId="18" xfId="51" applyFont="1" applyFill="1" applyBorder="1" applyAlignment="1">
      <alignment vertical="center" wrapText="1"/>
      <protection/>
    </xf>
    <xf numFmtId="4" fontId="11" fillId="0" borderId="26" xfId="0" applyNumberFormat="1" applyFont="1" applyFill="1" applyBorder="1" applyAlignment="1">
      <alignment vertical="center" wrapText="1"/>
    </xf>
    <xf numFmtId="2" fontId="11" fillId="0" borderId="34" xfId="0" applyNumberFormat="1" applyFont="1" applyFill="1" applyBorder="1" applyAlignment="1">
      <alignment horizontal="right" vertical="center" wrapText="1"/>
    </xf>
    <xf numFmtId="4" fontId="11" fillId="0" borderId="29" xfId="0" applyNumberFormat="1" applyFont="1" applyFill="1" applyBorder="1" applyAlignment="1">
      <alignment horizontal="justify" vertical="center" wrapText="1"/>
    </xf>
    <xf numFmtId="4" fontId="12" fillId="35" borderId="38" xfId="55" applyNumberFormat="1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/>
    </xf>
    <xf numFmtId="4" fontId="18" fillId="0" borderId="0" xfId="0" applyNumberFormat="1" applyFont="1" applyFill="1" applyAlignment="1">
      <alignment horizontal="right"/>
    </xf>
    <xf numFmtId="2" fontId="27" fillId="0" borderId="0" xfId="0" applyNumberFormat="1" applyFont="1" applyAlignment="1">
      <alignment horizontal="right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44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19" fillId="37" borderId="47" xfId="0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left" vertical="center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44" xfId="0" applyFont="1" applyFill="1" applyBorder="1" applyAlignment="1">
      <alignment horizontal="center" vertical="center" wrapText="1"/>
    </xf>
    <xf numFmtId="0" fontId="25" fillId="36" borderId="36" xfId="0" applyFont="1" applyFill="1" applyBorder="1" applyAlignment="1">
      <alignment horizontal="center" vertical="center"/>
    </xf>
    <xf numFmtId="0" fontId="19" fillId="37" borderId="46" xfId="0" applyFont="1" applyFill="1" applyBorder="1" applyAlignment="1">
      <alignment horizontal="center" vertical="center" wrapText="1"/>
    </xf>
    <xf numFmtId="0" fontId="20" fillId="37" borderId="39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right" vertical="center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/>
    </xf>
    <xf numFmtId="0" fontId="20" fillId="37" borderId="38" xfId="0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17" fillId="7" borderId="49" xfId="0" applyFont="1" applyFill="1" applyBorder="1" applyAlignment="1">
      <alignment horizontal="justify" vertical="center" wrapText="1"/>
    </xf>
    <xf numFmtId="4" fontId="21" fillId="0" borderId="49" xfId="53" applyNumberFormat="1" applyFont="1" applyBorder="1" applyAlignment="1">
      <alignment horizontal="right" vertical="center" wrapText="1"/>
    </xf>
    <xf numFmtId="4" fontId="21" fillId="0" borderId="49" xfId="55" applyNumberFormat="1" applyFont="1" applyBorder="1" applyAlignment="1">
      <alignment horizontal="right" vertical="center"/>
    </xf>
    <xf numFmtId="0" fontId="22" fillId="38" borderId="13" xfId="0" applyFont="1" applyFill="1" applyBorder="1" applyAlignment="1">
      <alignment horizontal="center" vertical="center"/>
    </xf>
    <xf numFmtId="191" fontId="18" fillId="38" borderId="13" xfId="55" applyFont="1" applyFill="1" applyBorder="1" applyAlignment="1">
      <alignment horizontal="right" vertical="center"/>
    </xf>
    <xf numFmtId="4" fontId="18" fillId="38" borderId="14" xfId="0" applyNumberFormat="1" applyFont="1" applyFill="1" applyBorder="1" applyAlignment="1">
      <alignment horizontal="right" vertical="center"/>
    </xf>
    <xf numFmtId="0" fontId="11" fillId="13" borderId="50" xfId="0" applyFont="1" applyFill="1" applyBorder="1" applyAlignment="1">
      <alignment horizontal="center" vertical="center" wrapText="1"/>
    </xf>
    <xf numFmtId="0" fontId="11" fillId="13" borderId="51" xfId="51" applyFont="1" applyFill="1" applyBorder="1" applyAlignment="1" applyProtection="1">
      <alignment horizontal="center" vertical="center" wrapText="1"/>
      <protection/>
    </xf>
    <xf numFmtId="4" fontId="18" fillId="39" borderId="52" xfId="55" applyNumberFormat="1" applyFont="1" applyFill="1" applyBorder="1" applyAlignment="1">
      <alignment horizontal="right" vertical="center"/>
    </xf>
    <xf numFmtId="4" fontId="18" fillId="39" borderId="53" xfId="55" applyNumberFormat="1" applyFont="1" applyFill="1" applyBorder="1" applyAlignment="1">
      <alignment horizontal="right" vertical="center"/>
    </xf>
    <xf numFmtId="4" fontId="18" fillId="39" borderId="52" xfId="53" applyNumberFormat="1" applyFont="1" applyFill="1" applyBorder="1" applyAlignment="1">
      <alignment horizontal="right" vertical="center"/>
    </xf>
    <xf numFmtId="0" fontId="22" fillId="39" borderId="11" xfId="0" applyFont="1" applyFill="1" applyBorder="1" applyAlignment="1">
      <alignment horizontal="center" vertical="center"/>
    </xf>
    <xf numFmtId="191" fontId="18" fillId="39" borderId="36" xfId="55" applyFont="1" applyFill="1" applyBorder="1" applyAlignment="1">
      <alignment horizontal="right" vertical="center"/>
    </xf>
    <xf numFmtId="191" fontId="18" fillId="39" borderId="36" xfId="55" applyFont="1" applyFill="1" applyBorder="1" applyAlignment="1" quotePrefix="1">
      <alignment horizontal="right" vertical="center"/>
    </xf>
    <xf numFmtId="0" fontId="18" fillId="40" borderId="47" xfId="0" applyFont="1" applyFill="1" applyBorder="1" applyAlignment="1">
      <alignment horizontal="left" vertical="center" wrapText="1"/>
    </xf>
    <xf numFmtId="0" fontId="22" fillId="40" borderId="38" xfId="0" applyFont="1" applyFill="1" applyBorder="1" applyAlignment="1">
      <alignment horizontal="center" vertical="center"/>
    </xf>
    <xf numFmtId="0" fontId="22" fillId="40" borderId="39" xfId="0" applyFont="1" applyFill="1" applyBorder="1" applyAlignment="1">
      <alignment horizontal="center" vertical="center"/>
    </xf>
    <xf numFmtId="0" fontId="18" fillId="40" borderId="15" xfId="0" applyFont="1" applyFill="1" applyBorder="1" applyAlignment="1">
      <alignment horizontal="center" vertical="center"/>
    </xf>
    <xf numFmtId="0" fontId="22" fillId="40" borderId="0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justify" vertical="center" wrapText="1"/>
    </xf>
    <xf numFmtId="0" fontId="19" fillId="40" borderId="0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 wrapText="1"/>
    </xf>
    <xf numFmtId="0" fontId="18" fillId="40" borderId="54" xfId="0" applyFont="1" applyFill="1" applyBorder="1" applyAlignment="1">
      <alignment horizontal="center" vertical="center"/>
    </xf>
    <xf numFmtId="0" fontId="22" fillId="40" borderId="13" xfId="0" applyFont="1" applyFill="1" applyBorder="1" applyAlignment="1">
      <alignment horizontal="center" vertical="center"/>
    </xf>
    <xf numFmtId="0" fontId="22" fillId="40" borderId="14" xfId="0" applyFont="1" applyFill="1" applyBorder="1" applyAlignment="1">
      <alignment horizontal="center" vertical="center"/>
    </xf>
    <xf numFmtId="4" fontId="18" fillId="40" borderId="52" xfId="55" applyNumberFormat="1" applyFont="1" applyFill="1" applyBorder="1" applyAlignment="1">
      <alignment horizontal="right" vertical="center"/>
    </xf>
    <xf numFmtId="0" fontId="18" fillId="39" borderId="11" xfId="0" applyFont="1" applyFill="1" applyBorder="1" applyAlignment="1">
      <alignment horizontal="center" vertical="center"/>
    </xf>
    <xf numFmtId="0" fontId="18" fillId="39" borderId="36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36" xfId="0" applyFont="1" applyFill="1" applyBorder="1" applyAlignment="1">
      <alignment horizontal="center" vertical="center" wrapText="1"/>
    </xf>
    <xf numFmtId="4" fontId="11" fillId="35" borderId="49" xfId="0" applyNumberFormat="1" applyFont="1" applyFill="1" applyBorder="1" applyAlignment="1">
      <alignment horizontal="center" vertical="center"/>
    </xf>
    <xf numFmtId="4" fontId="11" fillId="35" borderId="53" xfId="0" applyNumberFormat="1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11" fillId="35" borderId="47" xfId="0" applyFont="1" applyFill="1" applyBorder="1" applyAlignment="1" quotePrefix="1">
      <alignment horizontal="center" vertical="center"/>
    </xf>
    <xf numFmtId="0" fontId="11" fillId="35" borderId="38" xfId="0" applyFont="1" applyFill="1" applyBorder="1" applyAlignment="1" quotePrefix="1">
      <alignment horizontal="center" vertical="center"/>
    </xf>
    <xf numFmtId="0" fontId="11" fillId="35" borderId="39" xfId="0" applyFont="1" applyFill="1" applyBorder="1" applyAlignment="1" quotePrefix="1">
      <alignment horizontal="center" vertical="center"/>
    </xf>
    <xf numFmtId="0" fontId="11" fillId="35" borderId="54" xfId="0" applyFont="1" applyFill="1" applyBorder="1" applyAlignment="1" quotePrefix="1">
      <alignment horizontal="center" vertical="center"/>
    </xf>
    <xf numFmtId="0" fontId="11" fillId="35" borderId="13" xfId="0" applyFont="1" applyFill="1" applyBorder="1" applyAlignment="1" quotePrefix="1">
      <alignment horizontal="center" vertical="center"/>
    </xf>
    <xf numFmtId="0" fontId="11" fillId="35" borderId="14" xfId="0" applyFont="1" applyFill="1" applyBorder="1" applyAlignment="1" quotePrefix="1">
      <alignment horizontal="center" vertical="center"/>
    </xf>
    <xf numFmtId="0" fontId="1" fillId="35" borderId="15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horizontal="right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36" xfId="0" applyFont="1" applyFill="1" applyBorder="1" applyAlignment="1">
      <alignment horizontal="center" vertical="center" wrapText="1"/>
    </xf>
    <xf numFmtId="191" fontId="1" fillId="13" borderId="11" xfId="55" applyFont="1" applyFill="1" applyBorder="1" applyAlignment="1">
      <alignment horizontal="left" vertical="center" wrapText="1"/>
    </xf>
    <xf numFmtId="191" fontId="1" fillId="13" borderId="36" xfId="55" applyFont="1" applyFill="1" applyBorder="1" applyAlignment="1">
      <alignment horizontal="left" vertical="center" wrapText="1"/>
    </xf>
    <xf numFmtId="4" fontId="1" fillId="13" borderId="11" xfId="0" applyNumberFormat="1" applyFont="1" applyFill="1" applyBorder="1" applyAlignment="1">
      <alignment horizontal="left" vertical="center" wrapText="1"/>
    </xf>
    <xf numFmtId="4" fontId="1" fillId="13" borderId="36" xfId="0" applyNumberFormat="1" applyFont="1" applyFill="1" applyBorder="1" applyAlignment="1">
      <alignment horizontal="left" vertical="center" wrapText="1"/>
    </xf>
    <xf numFmtId="0" fontId="1" fillId="35" borderId="47" xfId="0" applyFont="1" applyFill="1" applyBorder="1" applyAlignment="1">
      <alignment horizontal="right" vertical="center" wrapText="1"/>
    </xf>
    <xf numFmtId="0" fontId="1" fillId="35" borderId="38" xfId="0" applyFont="1" applyFill="1" applyBorder="1" applyAlignment="1">
      <alignment horizontal="right" vertical="center" wrapText="1"/>
    </xf>
    <xf numFmtId="0" fontId="11" fillId="41" borderId="47" xfId="0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0" fontId="11" fillId="41" borderId="39" xfId="0" applyFont="1" applyFill="1" applyBorder="1" applyAlignment="1">
      <alignment horizontal="center" vertical="center" wrapText="1"/>
    </xf>
    <xf numFmtId="4" fontId="11" fillId="35" borderId="15" xfId="0" applyNumberFormat="1" applyFont="1" applyFill="1" applyBorder="1" applyAlignment="1">
      <alignment horizontal="right" vertical="center" wrapText="1"/>
    </xf>
    <xf numFmtId="4" fontId="11" fillId="35" borderId="0" xfId="0" applyNumberFormat="1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1" fillId="13" borderId="36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locked="0"/>
    </xf>
    <xf numFmtId="0" fontId="11" fillId="13" borderId="36" xfId="0" applyFont="1" applyFill="1" applyBorder="1" applyAlignment="1" applyProtection="1">
      <alignment horizontal="left" vertical="center" wrapText="1"/>
      <protection locked="0"/>
    </xf>
    <xf numFmtId="4" fontId="11" fillId="13" borderId="11" xfId="0" applyNumberFormat="1" applyFont="1" applyFill="1" applyBorder="1" applyAlignment="1">
      <alignment horizontal="left" vertical="center" wrapText="1"/>
    </xf>
    <xf numFmtId="4" fontId="11" fillId="13" borderId="36" xfId="0" applyNumberFormat="1" applyFont="1" applyFill="1" applyBorder="1" applyAlignment="1">
      <alignment horizontal="left" vertical="center" wrapText="1"/>
    </xf>
    <xf numFmtId="4" fontId="11" fillId="35" borderId="47" xfId="0" applyNumberFormat="1" applyFont="1" applyFill="1" applyBorder="1" applyAlignment="1">
      <alignment horizontal="center" vertical="center" wrapText="1"/>
    </xf>
    <xf numFmtId="4" fontId="11" fillId="35" borderId="38" xfId="0" applyNumberFormat="1" applyFont="1" applyFill="1" applyBorder="1" applyAlignment="1">
      <alignment horizontal="center" vertical="center" wrapText="1"/>
    </xf>
    <xf numFmtId="4" fontId="11" fillId="35" borderId="15" xfId="0" applyNumberFormat="1" applyFont="1" applyFill="1" applyBorder="1" applyAlignment="1">
      <alignment horizontal="center" vertical="center" wrapText="1"/>
    </xf>
    <xf numFmtId="4" fontId="11" fillId="35" borderId="0" xfId="0" applyNumberFormat="1" applyFont="1" applyFill="1" applyBorder="1" applyAlignment="1">
      <alignment horizontal="center" vertical="center" wrapText="1"/>
    </xf>
    <xf numFmtId="4" fontId="11" fillId="35" borderId="54" xfId="0" applyNumberFormat="1" applyFont="1" applyFill="1" applyBorder="1" applyAlignment="1">
      <alignment horizontal="center" vertical="center" wrapText="1"/>
    </xf>
    <xf numFmtId="4" fontId="11" fillId="35" borderId="13" xfId="0" applyNumberFormat="1" applyFont="1" applyFill="1" applyBorder="1" applyAlignment="1">
      <alignment horizontal="center" vertical="center" wrapText="1"/>
    </xf>
    <xf numFmtId="4" fontId="11" fillId="13" borderId="32" xfId="0" applyNumberFormat="1" applyFont="1" applyFill="1" applyBorder="1" applyAlignment="1">
      <alignment horizontal="left" vertical="center" wrapText="1"/>
    </xf>
    <xf numFmtId="4" fontId="11" fillId="13" borderId="33" xfId="0" applyNumberFormat="1" applyFont="1" applyFill="1" applyBorder="1" applyAlignment="1">
      <alignment horizontal="left" vertical="center" wrapText="1"/>
    </xf>
    <xf numFmtId="2" fontId="11" fillId="13" borderId="55" xfId="51" applyNumberFormat="1" applyFont="1" applyFill="1" applyBorder="1" applyAlignment="1" applyProtection="1">
      <alignment horizontal="left" vertical="center" wrapText="1"/>
      <protection/>
    </xf>
    <xf numFmtId="2" fontId="11" fillId="13" borderId="11" xfId="51" applyNumberFormat="1" applyFont="1" applyFill="1" applyBorder="1" applyAlignment="1" applyProtection="1">
      <alignment horizontal="left" vertical="center" wrapText="1"/>
      <protection/>
    </xf>
    <xf numFmtId="2" fontId="11" fillId="13" borderId="36" xfId="51" applyNumberFormat="1" applyFont="1" applyFill="1" applyBorder="1" applyAlignment="1" applyProtection="1">
      <alignment horizontal="left" vertical="center" wrapText="1"/>
      <protection/>
    </xf>
    <xf numFmtId="4" fontId="11" fillId="13" borderId="55" xfId="0" applyNumberFormat="1" applyFont="1" applyFill="1" applyBorder="1" applyAlignment="1">
      <alignment horizontal="left" vertical="center" wrapText="1"/>
    </xf>
    <xf numFmtId="4" fontId="11" fillId="35" borderId="47" xfId="0" applyNumberFormat="1" applyFont="1" applyFill="1" applyBorder="1" applyAlignment="1">
      <alignment horizontal="right" vertical="center" wrapText="1"/>
    </xf>
    <xf numFmtId="4" fontId="11" fillId="35" borderId="38" xfId="0" applyNumberFormat="1" applyFont="1" applyFill="1" applyBorder="1" applyAlignment="1">
      <alignment horizontal="right" vertical="center" wrapText="1"/>
    </xf>
    <xf numFmtId="4" fontId="11" fillId="35" borderId="54" xfId="0" applyNumberFormat="1" applyFont="1" applyFill="1" applyBorder="1" applyAlignment="1">
      <alignment horizontal="right" vertical="top" wrapText="1"/>
    </xf>
    <xf numFmtId="4" fontId="11" fillId="35" borderId="13" xfId="0" applyNumberFormat="1" applyFont="1" applyFill="1" applyBorder="1" applyAlignment="1">
      <alignment horizontal="right" vertical="top" wrapText="1"/>
    </xf>
    <xf numFmtId="0" fontId="11" fillId="13" borderId="11" xfId="0" applyFont="1" applyFill="1" applyBorder="1" applyAlignment="1" quotePrefix="1">
      <alignment horizontal="left" vertical="center" wrapText="1"/>
    </xf>
    <xf numFmtId="0" fontId="11" fillId="13" borderId="36" xfId="0" applyFont="1" applyFill="1" applyBorder="1" applyAlignment="1" quotePrefix="1">
      <alignment horizontal="left" vertical="center" wrapText="1"/>
    </xf>
    <xf numFmtId="4" fontId="11" fillId="35" borderId="47" xfId="0" applyNumberFormat="1" applyFont="1" applyFill="1" applyBorder="1" applyAlignment="1">
      <alignment horizontal="right" vertical="top" wrapText="1"/>
    </xf>
    <xf numFmtId="4" fontId="11" fillId="35" borderId="38" xfId="0" applyNumberFormat="1" applyFont="1" applyFill="1" applyBorder="1" applyAlignment="1">
      <alignment horizontal="right" vertical="top" wrapText="1"/>
    </xf>
    <xf numFmtId="4" fontId="11" fillId="35" borderId="15" xfId="0" applyNumberFormat="1" applyFont="1" applyFill="1" applyBorder="1" applyAlignment="1">
      <alignment horizontal="right" vertical="top" wrapText="1"/>
    </xf>
    <xf numFmtId="4" fontId="11" fillId="35" borderId="0" xfId="0" applyNumberFormat="1" applyFont="1" applyFill="1" applyBorder="1" applyAlignment="1">
      <alignment horizontal="right" vertical="top" wrapText="1"/>
    </xf>
    <xf numFmtId="0" fontId="11" fillId="13" borderId="32" xfId="0" applyFont="1" applyFill="1" applyBorder="1" applyAlignment="1">
      <alignment horizontal="left" vertical="center" wrapText="1"/>
    </xf>
    <xf numFmtId="0" fontId="11" fillId="13" borderId="33" xfId="0" applyFont="1" applyFill="1" applyBorder="1" applyAlignment="1">
      <alignment horizontal="left" vertical="center" wrapText="1"/>
    </xf>
    <xf numFmtId="0" fontId="11" fillId="13" borderId="55" xfId="0" applyFont="1" applyFill="1" applyBorder="1" applyAlignment="1">
      <alignment horizontal="left" vertical="center" wrapText="1"/>
    </xf>
    <xf numFmtId="0" fontId="11" fillId="13" borderId="55" xfId="0" applyFont="1" applyFill="1" applyBorder="1" applyAlignment="1" quotePrefix="1">
      <alignment horizontal="left" vertical="center" wrapText="1"/>
    </xf>
    <xf numFmtId="4" fontId="11" fillId="35" borderId="54" xfId="0" applyNumberFormat="1" applyFont="1" applyFill="1" applyBorder="1" applyAlignment="1">
      <alignment horizontal="right" vertical="center" wrapText="1"/>
    </xf>
    <xf numFmtId="4" fontId="11" fillId="35" borderId="13" xfId="0" applyNumberFormat="1" applyFont="1" applyFill="1" applyBorder="1" applyAlignment="1">
      <alignment horizontal="right" vertical="center" wrapText="1"/>
    </xf>
    <xf numFmtId="4" fontId="11" fillId="35" borderId="56" xfId="0" applyNumberFormat="1" applyFont="1" applyFill="1" applyBorder="1" applyAlignment="1">
      <alignment horizontal="center" vertical="center" wrapText="1"/>
    </xf>
    <xf numFmtId="4" fontId="11" fillId="35" borderId="57" xfId="0" applyNumberFormat="1" applyFont="1" applyFill="1" applyBorder="1" applyAlignment="1">
      <alignment horizontal="center" vertical="center" wrapText="1"/>
    </xf>
    <xf numFmtId="4" fontId="11" fillId="35" borderId="58" xfId="0" applyNumberFormat="1" applyFont="1" applyFill="1" applyBorder="1" applyAlignment="1">
      <alignment horizontal="center" vertical="center" wrapText="1"/>
    </xf>
    <xf numFmtId="4" fontId="11" fillId="35" borderId="59" xfId="0" applyNumberFormat="1" applyFont="1" applyFill="1" applyBorder="1" applyAlignment="1">
      <alignment horizontal="center" vertical="center" wrapText="1"/>
    </xf>
    <xf numFmtId="4" fontId="11" fillId="35" borderId="60" xfId="0" applyNumberFormat="1" applyFont="1" applyFill="1" applyBorder="1" applyAlignment="1">
      <alignment horizontal="center" vertical="center" wrapText="1"/>
    </xf>
    <xf numFmtId="4" fontId="11" fillId="35" borderId="61" xfId="0" applyNumberFormat="1" applyFont="1" applyFill="1" applyBorder="1" applyAlignment="1">
      <alignment horizontal="center" vertical="center" wrapText="1"/>
    </xf>
    <xf numFmtId="4" fontId="11" fillId="35" borderId="62" xfId="0" applyNumberFormat="1" applyFont="1" applyFill="1" applyBorder="1" applyAlignment="1">
      <alignment horizontal="center" vertical="center" wrapText="1"/>
    </xf>
    <xf numFmtId="4" fontId="11" fillId="35" borderId="63" xfId="0" applyNumberFormat="1" applyFont="1" applyFill="1" applyBorder="1" applyAlignment="1">
      <alignment horizontal="center" vertical="center" wrapText="1"/>
    </xf>
    <xf numFmtId="4" fontId="11" fillId="35" borderId="64" xfId="0" applyNumberFormat="1" applyFont="1" applyFill="1" applyBorder="1" applyAlignment="1">
      <alignment horizontal="center" vertical="center" wrapText="1"/>
    </xf>
    <xf numFmtId="0" fontId="11" fillId="13" borderId="55" xfId="51" applyFont="1" applyFill="1" applyBorder="1" applyAlignment="1">
      <alignment horizontal="left" vertical="center" wrapText="1"/>
      <protection/>
    </xf>
    <xf numFmtId="0" fontId="11" fillId="13" borderId="11" xfId="51" applyFont="1" applyFill="1" applyBorder="1" applyAlignment="1">
      <alignment horizontal="left" vertical="center" wrapText="1"/>
      <protection/>
    </xf>
    <xf numFmtId="0" fontId="11" fillId="13" borderId="36" xfId="51" applyFont="1" applyFill="1" applyBorder="1" applyAlignment="1">
      <alignment horizontal="left" vertical="center" wrapText="1"/>
      <protection/>
    </xf>
    <xf numFmtId="4" fontId="11" fillId="13" borderId="65" xfId="0" applyNumberFormat="1" applyFont="1" applyFill="1" applyBorder="1" applyAlignment="1">
      <alignment horizontal="left" vertical="center" wrapText="1"/>
    </xf>
    <xf numFmtId="4" fontId="11" fillId="13" borderId="38" xfId="0" applyNumberFormat="1" applyFont="1" applyFill="1" applyBorder="1" applyAlignment="1">
      <alignment horizontal="left" vertical="center" wrapText="1"/>
    </xf>
    <xf numFmtId="4" fontId="11" fillId="13" borderId="39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5" xfId="50"/>
    <cellStyle name="Normal_Caragua1" xfId="51"/>
    <cellStyle name="Nota" xfId="52"/>
    <cellStyle name="Percent" xfId="53"/>
    <cellStyle name="Saída" xfId="54"/>
    <cellStyle name="Comma" xfId="55"/>
    <cellStyle name="Comma [0]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A1:V17"/>
  <sheetViews>
    <sheetView showGridLines="0" showZeros="0" tabSelected="1" zoomScaleSheetLayoutView="70" workbookViewId="0" topLeftCell="A1">
      <selection activeCell="T5" sqref="T5"/>
    </sheetView>
  </sheetViews>
  <sheetFormatPr defaultColWidth="11.421875" defaultRowHeight="12.75"/>
  <cols>
    <col min="1" max="1" width="63.28125" style="477" customWidth="1"/>
    <col min="2" max="17" width="6.28125" style="478" customWidth="1"/>
    <col min="18" max="18" width="29.8515625" style="347" customWidth="1"/>
    <col min="19" max="19" width="30.8515625" style="479" customWidth="1"/>
    <col min="20" max="20" width="16.421875" style="480" customWidth="1"/>
    <col min="21" max="22" width="11.421875" style="480" customWidth="1"/>
    <col min="23" max="16384" width="11.421875" style="94" customWidth="1"/>
  </cols>
  <sheetData>
    <row r="1" spans="1:22" s="341" customFormat="1" ht="19.5" customHeight="1">
      <c r="A1" s="515" t="s">
        <v>267</v>
      </c>
      <c r="B1" s="517" t="s">
        <v>33</v>
      </c>
      <c r="C1" s="518"/>
      <c r="D1" s="518"/>
      <c r="E1" s="519"/>
      <c r="F1" s="517" t="s">
        <v>34</v>
      </c>
      <c r="G1" s="518"/>
      <c r="H1" s="518"/>
      <c r="I1" s="519"/>
      <c r="J1" s="517" t="s">
        <v>35</v>
      </c>
      <c r="K1" s="518"/>
      <c r="L1" s="518"/>
      <c r="M1" s="519"/>
      <c r="N1" s="517" t="s">
        <v>36</v>
      </c>
      <c r="O1" s="518"/>
      <c r="P1" s="518"/>
      <c r="Q1" s="519"/>
      <c r="R1" s="513" t="s">
        <v>37</v>
      </c>
      <c r="S1" s="443"/>
      <c r="T1" s="444"/>
      <c r="U1" s="340"/>
      <c r="V1" s="340"/>
    </row>
    <row r="2" spans="1:22" s="339" customFormat="1" ht="19.5" customHeight="1" thickBot="1">
      <c r="A2" s="516"/>
      <c r="B2" s="520"/>
      <c r="C2" s="521"/>
      <c r="D2" s="521"/>
      <c r="E2" s="522"/>
      <c r="F2" s="520"/>
      <c r="G2" s="521"/>
      <c r="H2" s="521"/>
      <c r="I2" s="522"/>
      <c r="J2" s="520"/>
      <c r="K2" s="521"/>
      <c r="L2" s="521"/>
      <c r="M2" s="522"/>
      <c r="N2" s="520"/>
      <c r="O2" s="521"/>
      <c r="P2" s="521"/>
      <c r="Q2" s="522"/>
      <c r="R2" s="514"/>
      <c r="S2" s="445"/>
      <c r="T2" s="342"/>
      <c r="U2" s="338"/>
      <c r="V2" s="338"/>
    </row>
    <row r="3" spans="1:22" s="457" customFormat="1" ht="45" customHeight="1" thickBot="1">
      <c r="A3" s="481" t="s">
        <v>262</v>
      </c>
      <c r="B3" s="446"/>
      <c r="C3" s="447"/>
      <c r="D3" s="448"/>
      <c r="E3" s="449"/>
      <c r="F3" s="450"/>
      <c r="G3" s="451"/>
      <c r="H3" s="451"/>
      <c r="I3" s="452"/>
      <c r="J3" s="453"/>
      <c r="K3" s="451"/>
      <c r="L3" s="451"/>
      <c r="M3" s="452"/>
      <c r="N3" s="453"/>
      <c r="O3" s="451"/>
      <c r="P3" s="451"/>
      <c r="Q3" s="454"/>
      <c r="R3" s="482">
        <f>implant!J38</f>
        <v>25928.226</v>
      </c>
      <c r="S3" s="455"/>
      <c r="T3" s="343"/>
      <c r="U3" s="456"/>
      <c r="V3" s="456"/>
    </row>
    <row r="4" spans="1:22" s="457" customFormat="1" ht="45" customHeight="1" thickBot="1">
      <c r="A4" s="481" t="s">
        <v>264</v>
      </c>
      <c r="B4" s="227"/>
      <c r="C4" s="458"/>
      <c r="D4" s="459"/>
      <c r="E4" s="460"/>
      <c r="F4" s="461"/>
      <c r="G4" s="451"/>
      <c r="H4" s="451"/>
      <c r="I4" s="452"/>
      <c r="J4" s="453"/>
      <c r="K4" s="451"/>
      <c r="L4" s="451"/>
      <c r="M4" s="452"/>
      <c r="N4" s="453"/>
      <c r="O4" s="451"/>
      <c r="P4" s="451"/>
      <c r="Q4" s="454"/>
      <c r="R4" s="483">
        <f>'est. concreto'!J50</f>
        <v>53807.7211</v>
      </c>
      <c r="S4" s="462"/>
      <c r="T4" s="343"/>
      <c r="U4" s="456"/>
      <c r="V4" s="456"/>
    </row>
    <row r="5" spans="1:22" s="457" customFormat="1" ht="45" customHeight="1" thickBot="1">
      <c r="A5" s="481" t="s">
        <v>263</v>
      </c>
      <c r="B5" s="463"/>
      <c r="C5" s="464"/>
      <c r="D5" s="464"/>
      <c r="E5" s="465"/>
      <c r="F5" s="461"/>
      <c r="G5" s="466"/>
      <c r="H5" s="466"/>
      <c r="I5" s="467"/>
      <c r="J5" s="453"/>
      <c r="K5" s="451"/>
      <c r="L5" s="451"/>
      <c r="M5" s="452"/>
      <c r="N5" s="453"/>
      <c r="O5" s="451"/>
      <c r="P5" s="451"/>
      <c r="Q5" s="454"/>
      <c r="R5" s="483">
        <f>'est. madeira '!J29</f>
        <v>97471.818</v>
      </c>
      <c r="S5" s="468"/>
      <c r="T5" s="343"/>
      <c r="U5" s="456"/>
      <c r="V5" s="456"/>
    </row>
    <row r="6" spans="1:22" s="457" customFormat="1" ht="45" customHeight="1" thickBot="1">
      <c r="A6" s="481" t="s">
        <v>475</v>
      </c>
      <c r="B6" s="469"/>
      <c r="C6" s="470"/>
      <c r="D6" s="470"/>
      <c r="E6" s="471"/>
      <c r="F6" s="453"/>
      <c r="G6" s="451"/>
      <c r="H6" s="451"/>
      <c r="I6" s="452"/>
      <c r="J6" s="461"/>
      <c r="K6" s="466"/>
      <c r="L6" s="466"/>
      <c r="M6" s="467"/>
      <c r="N6" s="461"/>
      <c r="O6" s="466"/>
      <c r="P6" s="466"/>
      <c r="Q6" s="472"/>
      <c r="R6" s="483">
        <f>arquit!J115</f>
        <v>98136.9246</v>
      </c>
      <c r="S6" s="468"/>
      <c r="T6" s="343"/>
      <c r="U6" s="456"/>
      <c r="V6" s="456"/>
    </row>
    <row r="7" spans="1:22" s="457" customFormat="1" ht="45" customHeight="1" thickBot="1">
      <c r="A7" s="481" t="s">
        <v>511</v>
      </c>
      <c r="B7" s="469"/>
      <c r="C7" s="470"/>
      <c r="D7" s="470"/>
      <c r="E7" s="471"/>
      <c r="F7" s="469"/>
      <c r="G7" s="470"/>
      <c r="H7" s="470"/>
      <c r="I7" s="471"/>
      <c r="J7" s="461"/>
      <c r="K7" s="466"/>
      <c r="L7" s="466"/>
      <c r="M7" s="467"/>
      <c r="N7" s="453"/>
      <c r="O7" s="451"/>
      <c r="P7" s="451"/>
      <c r="Q7" s="454"/>
      <c r="R7" s="483">
        <f>'agua-fria'!J32</f>
        <v>4456.8</v>
      </c>
      <c r="S7" s="468"/>
      <c r="T7" s="343"/>
      <c r="U7" s="456"/>
      <c r="V7" s="456"/>
    </row>
    <row r="8" spans="1:22" s="457" customFormat="1" ht="45" customHeight="1" thickBot="1">
      <c r="A8" s="481" t="s">
        <v>512</v>
      </c>
      <c r="B8" s="469"/>
      <c r="C8" s="470"/>
      <c r="D8" s="470"/>
      <c r="E8" s="470"/>
      <c r="F8" s="469"/>
      <c r="G8" s="470"/>
      <c r="H8" s="470"/>
      <c r="I8" s="471"/>
      <c r="J8" s="461"/>
      <c r="K8" s="466"/>
      <c r="L8" s="466"/>
      <c r="M8" s="467"/>
      <c r="N8" s="453"/>
      <c r="O8" s="451"/>
      <c r="P8" s="451"/>
      <c r="Q8" s="454"/>
      <c r="R8" s="483">
        <f>esgoto!J28</f>
        <v>3006.3096</v>
      </c>
      <c r="S8" s="468"/>
      <c r="T8" s="343"/>
      <c r="U8" s="456"/>
      <c r="V8" s="456"/>
    </row>
    <row r="9" spans="1:22" s="457" customFormat="1" ht="45" customHeight="1" thickBot="1">
      <c r="A9" s="481" t="s">
        <v>513</v>
      </c>
      <c r="B9" s="469"/>
      <c r="C9" s="470"/>
      <c r="D9" s="470"/>
      <c r="E9" s="471"/>
      <c r="F9" s="469"/>
      <c r="G9" s="470"/>
      <c r="H9" s="470"/>
      <c r="I9" s="471"/>
      <c r="J9" s="461"/>
      <c r="K9" s="466"/>
      <c r="L9" s="466"/>
      <c r="M9" s="467"/>
      <c r="N9" s="453"/>
      <c r="O9" s="451"/>
      <c r="P9" s="451"/>
      <c r="Q9" s="454"/>
      <c r="R9" s="483">
        <f>eletrica!J47</f>
        <v>11345.7445</v>
      </c>
      <c r="S9" s="468"/>
      <c r="T9" s="343"/>
      <c r="U9" s="456"/>
      <c r="V9" s="456"/>
    </row>
    <row r="10" spans="1:22" s="457" customFormat="1" ht="45" customHeight="1" thickBot="1">
      <c r="A10" s="481" t="s">
        <v>514</v>
      </c>
      <c r="B10" s="469"/>
      <c r="C10" s="470"/>
      <c r="D10" s="470"/>
      <c r="E10" s="471"/>
      <c r="F10" s="469"/>
      <c r="G10" s="470"/>
      <c r="H10" s="470"/>
      <c r="I10" s="471"/>
      <c r="J10" s="469"/>
      <c r="K10" s="470"/>
      <c r="L10" s="466"/>
      <c r="M10" s="467"/>
      <c r="N10" s="461"/>
      <c r="O10" s="466"/>
      <c r="P10" s="451"/>
      <c r="Q10" s="454"/>
      <c r="R10" s="483">
        <f>apluv!J18</f>
        <v>4354.0004</v>
      </c>
      <c r="S10" s="468"/>
      <c r="T10" s="343"/>
      <c r="U10" s="456"/>
      <c r="V10" s="456"/>
    </row>
    <row r="11" spans="1:22" s="457" customFormat="1" ht="45" customHeight="1" thickBot="1">
      <c r="A11" s="481" t="s">
        <v>515</v>
      </c>
      <c r="B11" s="469"/>
      <c r="C11" s="470"/>
      <c r="D11" s="470"/>
      <c r="E11" s="471"/>
      <c r="F11" s="469"/>
      <c r="G11" s="470"/>
      <c r="H11" s="470"/>
      <c r="I11" s="471"/>
      <c r="J11" s="469"/>
      <c r="K11" s="470"/>
      <c r="L11" s="470"/>
      <c r="M11" s="471"/>
      <c r="N11" s="461"/>
      <c r="O11" s="466"/>
      <c r="P11" s="466"/>
      <c r="Q11" s="472"/>
      <c r="R11" s="483">
        <f>paisag!J39</f>
        <v>25355.054000000004</v>
      </c>
      <c r="S11" s="462"/>
      <c r="T11" s="343"/>
      <c r="U11" s="456"/>
      <c r="V11" s="456"/>
    </row>
    <row r="12" spans="1:22" s="457" customFormat="1" ht="34.5" customHeight="1" thickBot="1">
      <c r="A12" s="495"/>
      <c r="B12" s="496"/>
      <c r="C12" s="496"/>
      <c r="D12" s="496"/>
      <c r="E12" s="496"/>
      <c r="F12" s="496"/>
      <c r="G12" s="496"/>
      <c r="H12" s="496"/>
      <c r="I12" s="496"/>
      <c r="J12" s="496"/>
      <c r="K12" s="497"/>
      <c r="L12" s="492"/>
      <c r="M12" s="492"/>
      <c r="N12" s="492"/>
      <c r="O12" s="492"/>
      <c r="P12" s="492"/>
      <c r="Q12" s="493" t="s">
        <v>265</v>
      </c>
      <c r="R12" s="489">
        <f>SUM(R3:R11)</f>
        <v>323862.5982</v>
      </c>
      <c r="S12" s="468"/>
      <c r="T12" s="343"/>
      <c r="U12" s="456"/>
      <c r="V12" s="456"/>
    </row>
    <row r="13" spans="1:22" s="475" customFormat="1" ht="34.5" customHeight="1" thickBot="1">
      <c r="A13" s="498"/>
      <c r="B13" s="499"/>
      <c r="C13" s="499"/>
      <c r="D13" s="499"/>
      <c r="E13" s="499"/>
      <c r="F13" s="499"/>
      <c r="G13" s="499"/>
      <c r="H13" s="499"/>
      <c r="I13" s="499"/>
      <c r="J13" s="499"/>
      <c r="K13" s="500"/>
      <c r="L13" s="492"/>
      <c r="M13" s="492"/>
      <c r="N13" s="492"/>
      <c r="O13" s="492"/>
      <c r="P13" s="492"/>
      <c r="Q13" s="494" t="s">
        <v>516</v>
      </c>
      <c r="R13" s="491">
        <f>R12*0.3</f>
        <v>97158.77946</v>
      </c>
      <c r="S13" s="473"/>
      <c r="T13" s="474"/>
      <c r="U13" s="474"/>
      <c r="V13" s="474"/>
    </row>
    <row r="14" spans="1:22" s="475" customFormat="1" ht="34.5" customHeight="1" thickBot="1">
      <c r="A14" s="498"/>
      <c r="B14" s="499"/>
      <c r="C14" s="499"/>
      <c r="D14" s="499"/>
      <c r="E14" s="499"/>
      <c r="F14" s="499"/>
      <c r="G14" s="499"/>
      <c r="H14" s="499"/>
      <c r="I14" s="499"/>
      <c r="J14" s="499"/>
      <c r="K14" s="500"/>
      <c r="L14" s="509" t="s">
        <v>517</v>
      </c>
      <c r="M14" s="509"/>
      <c r="N14" s="509"/>
      <c r="O14" s="509"/>
      <c r="P14" s="509"/>
      <c r="Q14" s="510"/>
      <c r="R14" s="490">
        <f>R12+R13</f>
        <v>421021.37766</v>
      </c>
      <c r="S14" s="473"/>
      <c r="T14" s="474"/>
      <c r="U14" s="474"/>
      <c r="V14" s="474"/>
    </row>
    <row r="15" spans="1:22" s="475" customFormat="1" ht="39" customHeight="1" thickBot="1">
      <c r="A15" s="501"/>
      <c r="B15" s="502"/>
      <c r="C15" s="502"/>
      <c r="D15" s="502"/>
      <c r="E15" s="503"/>
      <c r="F15" s="502"/>
      <c r="G15" s="502"/>
      <c r="H15" s="502"/>
      <c r="I15" s="503"/>
      <c r="J15" s="502"/>
      <c r="K15" s="504"/>
      <c r="L15" s="511" t="s">
        <v>518</v>
      </c>
      <c r="M15" s="511"/>
      <c r="N15" s="511"/>
      <c r="O15" s="511"/>
      <c r="P15" s="511"/>
      <c r="Q15" s="512"/>
      <c r="R15" s="508">
        <f>R12*10%</f>
        <v>32386.259820000003</v>
      </c>
      <c r="S15" s="473"/>
      <c r="T15" s="474"/>
      <c r="U15" s="474"/>
      <c r="V15" s="474"/>
    </row>
    <row r="16" spans="1:22" s="475" customFormat="1" ht="18.75" thickBot="1">
      <c r="A16" s="505"/>
      <c r="B16" s="506"/>
      <c r="C16" s="506"/>
      <c r="D16" s="506"/>
      <c r="E16" s="506"/>
      <c r="F16" s="506"/>
      <c r="G16" s="506"/>
      <c r="H16" s="506"/>
      <c r="I16" s="506"/>
      <c r="J16" s="506"/>
      <c r="K16" s="507"/>
      <c r="L16" s="484"/>
      <c r="M16" s="484"/>
      <c r="N16" s="484"/>
      <c r="O16" s="484"/>
      <c r="P16" s="484"/>
      <c r="Q16" s="485" t="s">
        <v>266</v>
      </c>
      <c r="R16" s="486">
        <f>R14+R15</f>
        <v>453407.63748</v>
      </c>
      <c r="S16" s="473"/>
      <c r="T16" s="474"/>
      <c r="U16" s="474"/>
      <c r="V16" s="474"/>
    </row>
    <row r="17" spans="1:22" s="475" customFormat="1" ht="15.75">
      <c r="A17" s="337"/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349"/>
      <c r="S17" s="473"/>
      <c r="T17" s="474"/>
      <c r="U17" s="474"/>
      <c r="V17" s="474"/>
    </row>
  </sheetData>
  <sheetProtection/>
  <mergeCells count="8">
    <mergeCell ref="L14:Q14"/>
    <mergeCell ref="L15:Q15"/>
    <mergeCell ref="R1:R2"/>
    <mergeCell ref="A1:A2"/>
    <mergeCell ref="B1:E2"/>
    <mergeCell ref="F1:I2"/>
    <mergeCell ref="J1:M2"/>
    <mergeCell ref="N1:Q2"/>
  </mergeCells>
  <printOptions horizontalCentered="1"/>
  <pageMargins left="0.1968503937007874" right="0.1968503937007874" top="1.8503937007874016" bottom="0.5905511811023623" header="0.9055118110236221" footer="0.5905511811023623"/>
  <pageSetup horizontalDpi="600" verticalDpi="600" orientation="landscape" scale="60" r:id="rId1"/>
  <headerFooter alignWithMargins="0">
    <oddHeader>&amp;L&amp;11Fundação Florestal
Diretoria Adiministrativa e Financeira
Setor de Engenharia e Infraestrutura 
&amp;C&amp;11PARQUE ESTADUAL CAVERNA DO DIABO
Portal com Guarita Central&amp;RCRONOGRAMA FÍSICO-FINANCEIRO
data base=Outubro/2017
</oddHeader>
    <oddFooter>&amp;Rpágina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showZeros="0" view="pageBreakPreview" zoomScaleSheetLayoutView="100" workbookViewId="0" topLeftCell="A28">
      <selection activeCell="H45" sqref="H45"/>
    </sheetView>
  </sheetViews>
  <sheetFormatPr defaultColWidth="9.140625" defaultRowHeight="12.75"/>
  <cols>
    <col min="1" max="1" width="5.7109375" style="296" customWidth="1"/>
    <col min="2" max="2" width="8.7109375" style="300" customWidth="1"/>
    <col min="3" max="3" width="17.421875" style="300" customWidth="1"/>
    <col min="4" max="4" width="63.7109375" style="298" customWidth="1"/>
    <col min="5" max="5" width="6.7109375" style="300" customWidth="1"/>
    <col min="6" max="6" width="10.7109375" style="299" customWidth="1"/>
    <col min="7" max="9" width="11.7109375" style="299" customWidth="1"/>
    <col min="10" max="10" width="15.7109375" style="299" customWidth="1"/>
    <col min="11" max="16384" width="9.140625" style="297" customWidth="1"/>
  </cols>
  <sheetData>
    <row r="1" spans="1:10" s="296" customFormat="1" ht="32.25" thickBot="1">
      <c r="A1" s="96" t="s">
        <v>0</v>
      </c>
      <c r="B1" s="97" t="s">
        <v>1</v>
      </c>
      <c r="C1" s="97" t="s">
        <v>321</v>
      </c>
      <c r="D1" s="98" t="s">
        <v>69</v>
      </c>
      <c r="E1" s="97" t="s">
        <v>2</v>
      </c>
      <c r="F1" s="205" t="s">
        <v>3</v>
      </c>
      <c r="G1" s="293" t="s">
        <v>22</v>
      </c>
      <c r="H1" s="293" t="s">
        <v>23</v>
      </c>
      <c r="I1" s="293" t="s">
        <v>71</v>
      </c>
      <c r="J1" s="294" t="s">
        <v>38</v>
      </c>
    </row>
    <row r="2" spans="1:10" s="296" customFormat="1" ht="27.75" customHeight="1" thickBot="1">
      <c r="A2" s="525" t="s">
        <v>505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s="426" customFormat="1" ht="16.5" thickBot="1">
      <c r="A3" s="216">
        <v>1</v>
      </c>
      <c r="B3" s="435"/>
      <c r="C3" s="582" t="s">
        <v>270</v>
      </c>
      <c r="D3" s="583"/>
      <c r="E3" s="583"/>
      <c r="F3" s="583"/>
      <c r="G3" s="583"/>
      <c r="H3" s="583"/>
      <c r="I3" s="583"/>
      <c r="J3" s="584"/>
    </row>
    <row r="4" spans="1:10" s="426" customFormat="1" ht="15.75">
      <c r="A4" s="38"/>
      <c r="B4" s="437"/>
      <c r="C4" s="437"/>
      <c r="D4" s="438"/>
      <c r="E4" s="39"/>
      <c r="F4" s="41"/>
      <c r="G4" s="41"/>
      <c r="H4" s="41"/>
      <c r="I4" s="41"/>
      <c r="J4" s="42"/>
    </row>
    <row r="5" spans="1:10" s="426" customFormat="1" ht="31.5">
      <c r="A5" s="43"/>
      <c r="B5" s="430" t="s">
        <v>4</v>
      </c>
      <c r="C5" s="33" t="s">
        <v>468</v>
      </c>
      <c r="D5" s="431" t="s">
        <v>489</v>
      </c>
      <c r="E5" s="373" t="s">
        <v>490</v>
      </c>
      <c r="F5" s="377">
        <v>100</v>
      </c>
      <c r="G5" s="35">
        <v>4.97</v>
      </c>
      <c r="H5" s="36">
        <v>3.56</v>
      </c>
      <c r="I5" s="36">
        <v>8.53</v>
      </c>
      <c r="J5" s="378">
        <f>F5*I5</f>
        <v>852.9999999999999</v>
      </c>
    </row>
    <row r="6" spans="1:10" ht="31.5">
      <c r="A6" s="43"/>
      <c r="B6" s="430" t="s">
        <v>30</v>
      </c>
      <c r="C6" s="33" t="s">
        <v>469</v>
      </c>
      <c r="D6" s="432" t="s">
        <v>491</v>
      </c>
      <c r="E6" s="44" t="s">
        <v>7</v>
      </c>
      <c r="F6" s="46">
        <v>40</v>
      </c>
      <c r="G6" s="35">
        <v>51.92</v>
      </c>
      <c r="H6" s="36">
        <v>6.9</v>
      </c>
      <c r="I6" s="36">
        <v>58.82</v>
      </c>
      <c r="J6" s="47">
        <f>I6*F6</f>
        <v>2352.8</v>
      </c>
    </row>
    <row r="7" spans="1:10" ht="15.75">
      <c r="A7" s="43"/>
      <c r="B7" s="430" t="s">
        <v>29</v>
      </c>
      <c r="C7" s="33" t="s">
        <v>470</v>
      </c>
      <c r="D7" s="432" t="s">
        <v>492</v>
      </c>
      <c r="E7" s="44" t="s">
        <v>13</v>
      </c>
      <c r="F7" s="46">
        <v>32</v>
      </c>
      <c r="G7" s="35">
        <v>28.16</v>
      </c>
      <c r="H7" s="36">
        <v>8.83</v>
      </c>
      <c r="I7" s="36">
        <v>36.99</v>
      </c>
      <c r="J7" s="47">
        <f>I7*F7</f>
        <v>1183.68</v>
      </c>
    </row>
    <row r="8" spans="1:10" ht="31.5">
      <c r="A8" s="43"/>
      <c r="B8" s="430" t="s">
        <v>66</v>
      </c>
      <c r="C8" s="33" t="s">
        <v>471</v>
      </c>
      <c r="D8" s="317" t="s">
        <v>257</v>
      </c>
      <c r="E8" s="44" t="s">
        <v>7</v>
      </c>
      <c r="F8" s="46">
        <v>200</v>
      </c>
      <c r="G8" s="46"/>
      <c r="H8" s="46">
        <v>3.1</v>
      </c>
      <c r="I8" s="46">
        <f>H8+G8</f>
        <v>3.1</v>
      </c>
      <c r="J8" s="47">
        <f>I8*F8</f>
        <v>620</v>
      </c>
    </row>
    <row r="9" spans="1:10" ht="31.5">
      <c r="A9" s="43"/>
      <c r="B9" s="430" t="s">
        <v>91</v>
      </c>
      <c r="C9" s="430" t="s">
        <v>345</v>
      </c>
      <c r="D9" s="317" t="s">
        <v>320</v>
      </c>
      <c r="E9" s="44" t="s">
        <v>7</v>
      </c>
      <c r="F9" s="46">
        <v>80</v>
      </c>
      <c r="G9" s="46">
        <v>9.31</v>
      </c>
      <c r="H9" s="46">
        <v>0.23</v>
      </c>
      <c r="I9" s="46">
        <f>(H9+G9)*1.77</f>
        <v>16.885800000000003</v>
      </c>
      <c r="J9" s="47">
        <f>I9*F9</f>
        <v>1350.8640000000003</v>
      </c>
    </row>
    <row r="10" spans="1:10" ht="31.5">
      <c r="A10" s="43"/>
      <c r="B10" s="430" t="s">
        <v>67</v>
      </c>
      <c r="C10" s="33" t="s">
        <v>472</v>
      </c>
      <c r="D10" s="317" t="s">
        <v>258</v>
      </c>
      <c r="E10" s="44" t="s">
        <v>7</v>
      </c>
      <c r="F10" s="46">
        <v>80</v>
      </c>
      <c r="G10" s="35">
        <v>43.38</v>
      </c>
      <c r="H10" s="36">
        <v>14.04</v>
      </c>
      <c r="I10" s="36">
        <v>57.42</v>
      </c>
      <c r="J10" s="47">
        <f>I10*F10</f>
        <v>4593.6</v>
      </c>
    </row>
    <row r="11" spans="1:10" ht="16.5" thickBot="1">
      <c r="A11" s="43"/>
      <c r="B11" s="44"/>
      <c r="C11" s="44"/>
      <c r="D11" s="318"/>
      <c r="E11" s="83"/>
      <c r="F11" s="57"/>
      <c r="G11" s="57"/>
      <c r="H11" s="57"/>
      <c r="I11" s="57"/>
      <c r="J11" s="60"/>
    </row>
    <row r="12" spans="1:10" ht="16.5" thickBot="1">
      <c r="A12" s="43"/>
      <c r="B12" s="44"/>
      <c r="C12" s="125"/>
      <c r="D12" s="235" t="s">
        <v>57</v>
      </c>
      <c r="E12" s="70"/>
      <c r="F12" s="75"/>
      <c r="G12" s="128"/>
      <c r="H12" s="128"/>
      <c r="I12" s="71">
        <f>H12+G12</f>
        <v>0</v>
      </c>
      <c r="J12" s="78">
        <f>SUM(J5:J11)</f>
        <v>10953.944000000001</v>
      </c>
    </row>
    <row r="13" spans="1:10" ht="16.5" thickBot="1">
      <c r="A13" s="49"/>
      <c r="B13" s="50"/>
      <c r="C13" s="50"/>
      <c r="D13" s="241"/>
      <c r="E13" s="134"/>
      <c r="F13" s="138"/>
      <c r="G13" s="136"/>
      <c r="H13" s="136"/>
      <c r="I13" s="138">
        <f>H13+G13</f>
        <v>0</v>
      </c>
      <c r="J13" s="282"/>
    </row>
    <row r="14" spans="1:13" s="426" customFormat="1" ht="16.5" thickBot="1">
      <c r="A14" s="487">
        <v>2</v>
      </c>
      <c r="B14" s="488"/>
      <c r="C14" s="585" t="s">
        <v>277</v>
      </c>
      <c r="D14" s="586"/>
      <c r="E14" s="586"/>
      <c r="F14" s="586"/>
      <c r="G14" s="586"/>
      <c r="H14" s="586"/>
      <c r="I14" s="586"/>
      <c r="J14" s="587"/>
      <c r="L14" s="427"/>
      <c r="M14" s="427"/>
    </row>
    <row r="15" spans="1:13" s="426" customFormat="1" ht="15.75">
      <c r="A15" s="437"/>
      <c r="B15" s="437"/>
      <c r="C15" s="437"/>
      <c r="D15" s="437"/>
      <c r="E15" s="437"/>
      <c r="F15" s="437"/>
      <c r="G15" s="437"/>
      <c r="H15" s="437"/>
      <c r="I15" s="437"/>
      <c r="J15" s="437"/>
      <c r="L15" s="427"/>
      <c r="M15" s="427"/>
    </row>
    <row r="16" spans="1:10" ht="47.25">
      <c r="A16" s="61"/>
      <c r="B16" s="62" t="s">
        <v>25</v>
      </c>
      <c r="C16" s="63" t="s">
        <v>473</v>
      </c>
      <c r="D16" s="436" t="s">
        <v>493</v>
      </c>
      <c r="E16" s="85" t="s">
        <v>12</v>
      </c>
      <c r="F16" s="65">
        <v>4</v>
      </c>
      <c r="G16" s="66">
        <v>152.52</v>
      </c>
      <c r="H16" s="67">
        <v>10.31</v>
      </c>
      <c r="I16" s="67">
        <v>162.83</v>
      </c>
      <c r="J16" s="68">
        <f>I16*F16</f>
        <v>651.32</v>
      </c>
    </row>
    <row r="17" spans="1:13" s="426" customFormat="1" ht="47.25">
      <c r="A17" s="61"/>
      <c r="B17" s="62" t="s">
        <v>26</v>
      </c>
      <c r="C17" s="429" t="s">
        <v>345</v>
      </c>
      <c r="D17" s="436" t="s">
        <v>494</v>
      </c>
      <c r="E17" s="85" t="s">
        <v>13</v>
      </c>
      <c r="F17" s="65">
        <v>20</v>
      </c>
      <c r="G17" s="65">
        <v>24</v>
      </c>
      <c r="H17" s="65">
        <v>2.6</v>
      </c>
      <c r="I17" s="65">
        <f>H17+G17</f>
        <v>26.6</v>
      </c>
      <c r="J17" s="68">
        <f>I17*F17</f>
        <v>532</v>
      </c>
      <c r="L17" s="427"/>
      <c r="M17" s="427"/>
    </row>
    <row r="18" spans="1:10" s="426" customFormat="1" ht="24.75" customHeight="1" thickBot="1">
      <c r="A18" s="43"/>
      <c r="B18" s="48"/>
      <c r="C18" s="48"/>
      <c r="D18" s="439"/>
      <c r="E18" s="83"/>
      <c r="F18" s="57"/>
      <c r="G18" s="57"/>
      <c r="H18" s="57"/>
      <c r="I18" s="57"/>
      <c r="J18" s="60"/>
    </row>
    <row r="19" spans="1:10" ht="16.5" thickBot="1">
      <c r="A19" s="43"/>
      <c r="B19" s="44"/>
      <c r="C19" s="125"/>
      <c r="D19" s="235" t="s">
        <v>56</v>
      </c>
      <c r="E19" s="70"/>
      <c r="F19" s="75"/>
      <c r="G19" s="128"/>
      <c r="H19" s="128"/>
      <c r="I19" s="71">
        <f>H19+G19</f>
        <v>0</v>
      </c>
      <c r="J19" s="78">
        <f>SUM(J16:J18)</f>
        <v>1183.3200000000002</v>
      </c>
    </row>
    <row r="20" spans="1:10" ht="16.5" thickBot="1">
      <c r="A20" s="49"/>
      <c r="B20" s="50"/>
      <c r="C20" s="50"/>
      <c r="D20" s="241"/>
      <c r="E20" s="280"/>
      <c r="F20" s="281"/>
      <c r="G20" s="440"/>
      <c r="H20" s="440"/>
      <c r="I20" s="138"/>
      <c r="J20" s="282"/>
    </row>
    <row r="21" spans="1:10" ht="24.75" customHeight="1" thickBot="1">
      <c r="A21" s="216">
        <v>3</v>
      </c>
      <c r="B21" s="217"/>
      <c r="C21" s="556" t="s">
        <v>259</v>
      </c>
      <c r="D21" s="543"/>
      <c r="E21" s="543"/>
      <c r="F21" s="543"/>
      <c r="G21" s="543"/>
      <c r="H21" s="543"/>
      <c r="I21" s="543"/>
      <c r="J21" s="544"/>
    </row>
    <row r="22" spans="1:10" ht="15.75">
      <c r="A22" s="38"/>
      <c r="B22" s="39"/>
      <c r="C22" s="39"/>
      <c r="D22" s="40"/>
      <c r="E22" s="39"/>
      <c r="F22" s="41"/>
      <c r="G22" s="41"/>
      <c r="H22" s="41"/>
      <c r="I22" s="41"/>
      <c r="J22" s="42"/>
    </row>
    <row r="23" spans="1:10" ht="31.5">
      <c r="A23" s="43"/>
      <c r="B23" s="429" t="s">
        <v>8</v>
      </c>
      <c r="C23" s="429" t="s">
        <v>345</v>
      </c>
      <c r="D23" s="45" t="s">
        <v>271</v>
      </c>
      <c r="E23" s="44" t="s">
        <v>272</v>
      </c>
      <c r="F23" s="46">
        <v>30</v>
      </c>
      <c r="G23" s="46">
        <v>4.5</v>
      </c>
      <c r="H23" s="46">
        <v>1.6</v>
      </c>
      <c r="I23" s="46">
        <f>(H23+G23)*1.77</f>
        <v>10.796999999999999</v>
      </c>
      <c r="J23" s="47">
        <f aca="true" t="shared" si="0" ref="J23:J29">I23*F23</f>
        <v>323.90999999999997</v>
      </c>
    </row>
    <row r="24" spans="1:10" ht="31.5">
      <c r="A24" s="43"/>
      <c r="B24" s="429" t="s">
        <v>46</v>
      </c>
      <c r="C24" s="429" t="s">
        <v>345</v>
      </c>
      <c r="D24" s="45" t="s">
        <v>273</v>
      </c>
      <c r="E24" s="44" t="s">
        <v>272</v>
      </c>
      <c r="F24" s="46">
        <v>50</v>
      </c>
      <c r="G24" s="46">
        <v>4.5</v>
      </c>
      <c r="H24" s="46">
        <v>1.6</v>
      </c>
      <c r="I24" s="46">
        <f>(H24+G24)*1.77</f>
        <v>10.796999999999999</v>
      </c>
      <c r="J24" s="47">
        <f t="shared" si="0"/>
        <v>539.8499999999999</v>
      </c>
    </row>
    <row r="25" spans="1:10" ht="31.5">
      <c r="A25" s="43"/>
      <c r="B25" s="429" t="s">
        <v>53</v>
      </c>
      <c r="C25" s="429" t="s">
        <v>345</v>
      </c>
      <c r="D25" s="45" t="s">
        <v>274</v>
      </c>
      <c r="E25" s="44" t="s">
        <v>272</v>
      </c>
      <c r="F25" s="46">
        <v>10</v>
      </c>
      <c r="G25" s="46">
        <v>10.5</v>
      </c>
      <c r="H25" s="46">
        <v>1.6</v>
      </c>
      <c r="I25" s="46">
        <f>(H25+G25)*1.77</f>
        <v>21.416999999999998</v>
      </c>
      <c r="J25" s="47">
        <f t="shared" si="0"/>
        <v>214.17</v>
      </c>
    </row>
    <row r="26" spans="1:10" ht="31.5">
      <c r="A26" s="43"/>
      <c r="B26" s="429" t="s">
        <v>54</v>
      </c>
      <c r="C26" s="429" t="s">
        <v>345</v>
      </c>
      <c r="D26" s="45" t="s">
        <v>275</v>
      </c>
      <c r="E26" s="44" t="s">
        <v>272</v>
      </c>
      <c r="F26" s="46">
        <v>5</v>
      </c>
      <c r="G26" s="46">
        <v>30</v>
      </c>
      <c r="H26" s="46">
        <v>1.6</v>
      </c>
      <c r="I26" s="46">
        <f>(H26+G26)*1.77</f>
        <v>55.932</v>
      </c>
      <c r="J26" s="47">
        <f t="shared" si="0"/>
        <v>279.66</v>
      </c>
    </row>
    <row r="27" spans="1:10" ht="31.5">
      <c r="A27" s="433"/>
      <c r="B27" s="429" t="s">
        <v>55</v>
      </c>
      <c r="C27" s="33" t="s">
        <v>474</v>
      </c>
      <c r="D27" s="434" t="s">
        <v>276</v>
      </c>
      <c r="E27" s="44" t="s">
        <v>495</v>
      </c>
      <c r="F27" s="46">
        <v>8</v>
      </c>
      <c r="G27" s="35">
        <v>96.27</v>
      </c>
      <c r="H27" s="36">
        <v>36.63</v>
      </c>
      <c r="I27" s="36">
        <v>132.9</v>
      </c>
      <c r="J27" s="47">
        <f t="shared" si="0"/>
        <v>1063.2</v>
      </c>
    </row>
    <row r="28" spans="1:10" ht="31.5">
      <c r="A28" s="43"/>
      <c r="B28" s="429" t="s">
        <v>113</v>
      </c>
      <c r="C28" s="429" t="s">
        <v>345</v>
      </c>
      <c r="D28" s="222" t="s">
        <v>496</v>
      </c>
      <c r="E28" s="44" t="s">
        <v>131</v>
      </c>
      <c r="F28" s="46">
        <v>16</v>
      </c>
      <c r="G28" s="223">
        <v>25</v>
      </c>
      <c r="H28" s="223"/>
      <c r="I28" s="46">
        <f>(H28+G28)*1.77</f>
        <v>44.25</v>
      </c>
      <c r="J28" s="47">
        <f t="shared" si="0"/>
        <v>708</v>
      </c>
    </row>
    <row r="29" spans="1:10" ht="47.25">
      <c r="A29" s="433"/>
      <c r="B29" s="429" t="s">
        <v>506</v>
      </c>
      <c r="C29" s="429" t="s">
        <v>345</v>
      </c>
      <c r="D29" s="222" t="s">
        <v>497</v>
      </c>
      <c r="E29" s="44" t="s">
        <v>6</v>
      </c>
      <c r="F29" s="46">
        <v>1</v>
      </c>
      <c r="G29" s="223"/>
      <c r="H29" s="223"/>
      <c r="I29" s="46">
        <f>500*1.77</f>
        <v>885</v>
      </c>
      <c r="J29" s="47">
        <f t="shared" si="0"/>
        <v>885</v>
      </c>
    </row>
    <row r="30" spans="1:10" ht="16.5" thickBot="1">
      <c r="A30" s="43"/>
      <c r="B30" s="44"/>
      <c r="C30" s="44"/>
      <c r="D30" s="237"/>
      <c r="E30" s="83"/>
      <c r="F30" s="57"/>
      <c r="G30" s="123"/>
      <c r="H30" s="123"/>
      <c r="I30" s="57">
        <f>H30+G30</f>
        <v>0</v>
      </c>
      <c r="J30" s="60"/>
    </row>
    <row r="31" spans="1:10" ht="16.5" thickBot="1">
      <c r="A31" s="43"/>
      <c r="B31" s="44"/>
      <c r="C31" s="125"/>
      <c r="D31" s="235" t="s">
        <v>107</v>
      </c>
      <c r="E31" s="70"/>
      <c r="F31" s="75"/>
      <c r="G31" s="128"/>
      <c r="H31" s="128"/>
      <c r="I31" s="71">
        <f>H31+G31</f>
        <v>0</v>
      </c>
      <c r="J31" s="78">
        <f>SUM(J23:J30)</f>
        <v>4013.79</v>
      </c>
    </row>
    <row r="32" spans="1:10" ht="16.5" thickBot="1">
      <c r="A32" s="49"/>
      <c r="B32" s="50"/>
      <c r="C32" s="50"/>
      <c r="D32" s="242"/>
      <c r="E32" s="134"/>
      <c r="F32" s="138"/>
      <c r="G32" s="136"/>
      <c r="H32" s="136"/>
      <c r="I32" s="138">
        <f>H32+G32</f>
        <v>0</v>
      </c>
      <c r="J32" s="139"/>
    </row>
    <row r="33" spans="1:10" ht="24.75" customHeight="1" thickBot="1">
      <c r="A33" s="216">
        <v>5</v>
      </c>
      <c r="B33" s="217"/>
      <c r="C33" s="556" t="s">
        <v>268</v>
      </c>
      <c r="D33" s="543"/>
      <c r="E33" s="543"/>
      <c r="F33" s="543"/>
      <c r="G33" s="543"/>
      <c r="H33" s="543"/>
      <c r="I33" s="543"/>
      <c r="J33" s="544"/>
    </row>
    <row r="34" spans="1:10" ht="15.75">
      <c r="A34" s="61"/>
      <c r="B34" s="85"/>
      <c r="C34" s="85"/>
      <c r="D34" s="441"/>
      <c r="E34" s="85"/>
      <c r="F34" s="65"/>
      <c r="G34" s="65"/>
      <c r="H34" s="65"/>
      <c r="I34" s="65"/>
      <c r="J34" s="68"/>
    </row>
    <row r="35" spans="1:10" ht="47.25">
      <c r="A35" s="43"/>
      <c r="B35" s="44" t="s">
        <v>8</v>
      </c>
      <c r="C35" s="44" t="s">
        <v>345</v>
      </c>
      <c r="D35" s="317" t="s">
        <v>269</v>
      </c>
      <c r="E35" s="44" t="s">
        <v>6</v>
      </c>
      <c r="F35" s="46">
        <v>1</v>
      </c>
      <c r="G35" s="46"/>
      <c r="H35" s="46"/>
      <c r="I35" s="46">
        <f>5200*1.77</f>
        <v>9204</v>
      </c>
      <c r="J35" s="47">
        <f>I35*F35</f>
        <v>9204</v>
      </c>
    </row>
    <row r="36" spans="1:10" ht="16.5" thickBot="1">
      <c r="A36" s="43"/>
      <c r="B36" s="44"/>
      <c r="C36" s="44"/>
      <c r="D36" s="318"/>
      <c r="E36" s="83"/>
      <c r="F36" s="57"/>
      <c r="G36" s="57"/>
      <c r="H36" s="57"/>
      <c r="I36" s="57"/>
      <c r="J36" s="60"/>
    </row>
    <row r="37" spans="1:10" ht="16.5" thickBot="1">
      <c r="A37" s="43"/>
      <c r="B37" s="44"/>
      <c r="C37" s="125"/>
      <c r="D37" s="235" t="s">
        <v>58</v>
      </c>
      <c r="E37" s="70"/>
      <c r="F37" s="75"/>
      <c r="G37" s="128"/>
      <c r="H37" s="128"/>
      <c r="I37" s="71">
        <f>H37+G37</f>
        <v>0</v>
      </c>
      <c r="J37" s="78">
        <f>SUM(J33:J36)</f>
        <v>9204</v>
      </c>
    </row>
    <row r="38" spans="1:10" ht="16.5" thickBot="1">
      <c r="A38" s="53"/>
      <c r="B38" s="83"/>
      <c r="C38" s="83"/>
      <c r="D38" s="249"/>
      <c r="E38" s="248"/>
      <c r="F38" s="250"/>
      <c r="G38" s="250"/>
      <c r="H38" s="250"/>
      <c r="I38" s="250"/>
      <c r="J38" s="251"/>
    </row>
    <row r="39" spans="1:10" ht="19.5" customHeight="1">
      <c r="A39" s="557" t="s">
        <v>32</v>
      </c>
      <c r="B39" s="558"/>
      <c r="C39" s="558"/>
      <c r="D39" s="558"/>
      <c r="E39" s="408"/>
      <c r="F39" s="442"/>
      <c r="G39" s="442"/>
      <c r="H39" s="442"/>
      <c r="I39" s="442">
        <f>H39+G39</f>
        <v>0</v>
      </c>
      <c r="J39" s="209">
        <f>J37+J31+J19+J12</f>
        <v>25355.054000000004</v>
      </c>
    </row>
    <row r="40" spans="1:10" ht="19.5" customHeight="1">
      <c r="A40" s="537" t="s">
        <v>520</v>
      </c>
      <c r="B40" s="538"/>
      <c r="C40" s="538"/>
      <c r="D40" s="538"/>
      <c r="E40" s="289"/>
      <c r="F40" s="290"/>
      <c r="G40" s="290"/>
      <c r="H40" s="290"/>
      <c r="I40" s="290">
        <f>H40+G40</f>
        <v>0</v>
      </c>
      <c r="J40" s="182">
        <f>J39*0.3</f>
        <v>7606.516200000001</v>
      </c>
    </row>
    <row r="41" spans="1:10" ht="19.5" customHeight="1" thickBot="1">
      <c r="A41" s="571" t="s">
        <v>45</v>
      </c>
      <c r="B41" s="572"/>
      <c r="C41" s="572"/>
      <c r="D41" s="572"/>
      <c r="E41" s="291"/>
      <c r="F41" s="292"/>
      <c r="G41" s="292"/>
      <c r="H41" s="292"/>
      <c r="I41" s="292">
        <f>H41+G41</f>
        <v>0</v>
      </c>
      <c r="J41" s="188">
        <f>SUM(J39:J40)</f>
        <v>32961.5702</v>
      </c>
    </row>
    <row r="42" spans="1:10" ht="15.75">
      <c r="A42" s="28"/>
      <c r="B42" s="29"/>
      <c r="C42" s="29"/>
      <c r="D42" s="297"/>
      <c r="E42" s="297"/>
      <c r="F42" s="428"/>
      <c r="G42" s="297"/>
      <c r="H42" s="297"/>
      <c r="I42" s="31"/>
      <c r="J42" s="297"/>
    </row>
    <row r="43" spans="1:10" ht="15.75">
      <c r="A43" s="28"/>
      <c r="B43" s="29"/>
      <c r="C43" s="29"/>
      <c r="E43" s="297"/>
      <c r="F43" s="428"/>
      <c r="G43" s="297"/>
      <c r="H43" s="297"/>
      <c r="I43" s="31"/>
      <c r="J43" s="297"/>
    </row>
    <row r="44" spans="1:10" ht="15.75">
      <c r="A44" s="301"/>
      <c r="B44" s="297"/>
      <c r="C44" s="297"/>
      <c r="E44" s="297"/>
      <c r="F44" s="428"/>
      <c r="G44" s="297"/>
      <c r="H44" s="297"/>
      <c r="I44" s="31"/>
      <c r="J44" s="297"/>
    </row>
    <row r="45" spans="1:10" ht="15.75">
      <c r="A45" s="301"/>
      <c r="B45" s="297"/>
      <c r="C45" s="297"/>
      <c r="E45" s="297"/>
      <c r="F45" s="428"/>
      <c r="G45" s="297"/>
      <c r="H45" s="297"/>
      <c r="I45" s="31"/>
      <c r="J45" s="297"/>
    </row>
    <row r="46" spans="1:10" ht="15.75">
      <c r="A46" s="301"/>
      <c r="B46" s="297"/>
      <c r="C46" s="297"/>
      <c r="E46" s="297"/>
      <c r="F46" s="428"/>
      <c r="G46" s="297"/>
      <c r="H46" s="297"/>
      <c r="I46" s="31"/>
      <c r="J46" s="297"/>
    </row>
    <row r="47" ht="15.75">
      <c r="I47" s="31"/>
    </row>
    <row r="48" ht="15.75">
      <c r="I48" s="31"/>
    </row>
    <row r="49" ht="15.75">
      <c r="I49" s="31"/>
    </row>
    <row r="50" ht="15.75">
      <c r="I50" s="31"/>
    </row>
    <row r="51" ht="15.75">
      <c r="I51" s="31"/>
    </row>
    <row r="52" ht="15.75">
      <c r="I52" s="31"/>
    </row>
    <row r="53" ht="15.75">
      <c r="I53" s="31"/>
    </row>
    <row r="54" ht="15.75">
      <c r="I54" s="31"/>
    </row>
    <row r="55" ht="15.75">
      <c r="I55" s="31"/>
    </row>
    <row r="56" ht="15.75">
      <c r="I56" s="31"/>
    </row>
    <row r="57" ht="15.75">
      <c r="I57" s="31"/>
    </row>
    <row r="58" ht="15.75">
      <c r="I58" s="31"/>
    </row>
    <row r="59" ht="15.75">
      <c r="I59" s="31"/>
    </row>
  </sheetData>
  <sheetProtection/>
  <mergeCells count="8">
    <mergeCell ref="A2:J2"/>
    <mergeCell ref="A41:D41"/>
    <mergeCell ref="C3:J3"/>
    <mergeCell ref="C21:J21"/>
    <mergeCell ref="C33:J33"/>
    <mergeCell ref="A39:D39"/>
    <mergeCell ref="A40:D40"/>
    <mergeCell ref="C14:J14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horizontalDpi="300" verticalDpi="300" orientation="portrait" paperSize="9" scale="58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K43"/>
  <sheetViews>
    <sheetView showZeros="0" view="pageBreakPreview" zoomScaleSheetLayoutView="100" workbookViewId="0" topLeftCell="A25">
      <selection activeCell="H45" sqref="H45"/>
    </sheetView>
  </sheetViews>
  <sheetFormatPr defaultColWidth="9.140625" defaultRowHeight="12.75"/>
  <cols>
    <col min="1" max="1" width="5.7109375" style="1" customWidth="1"/>
    <col min="2" max="2" width="8.7109375" style="8" customWidth="1"/>
    <col min="3" max="3" width="15.00390625" style="8" customWidth="1"/>
    <col min="4" max="4" width="63.7109375" style="5" customWidth="1"/>
    <col min="5" max="5" width="6.28125" style="8" customWidth="1"/>
    <col min="6" max="6" width="10.7109375" style="10" customWidth="1"/>
    <col min="7" max="9" width="11.7109375" style="10" customWidth="1"/>
    <col min="10" max="10" width="15.7109375" style="4" customWidth="1"/>
    <col min="11" max="16384" width="9.140625" style="3" customWidth="1"/>
  </cols>
  <sheetData>
    <row r="1" spans="1:10" s="1" customFormat="1" ht="32.25" thickBot="1">
      <c r="A1" s="96" t="s">
        <v>0</v>
      </c>
      <c r="B1" s="97" t="s">
        <v>1</v>
      </c>
      <c r="C1" s="97" t="s">
        <v>321</v>
      </c>
      <c r="D1" s="98" t="s">
        <v>69</v>
      </c>
      <c r="E1" s="97" t="s">
        <v>2</v>
      </c>
      <c r="F1" s="293" t="s">
        <v>3</v>
      </c>
      <c r="G1" s="293" t="s">
        <v>22</v>
      </c>
      <c r="H1" s="293" t="s">
        <v>23</v>
      </c>
      <c r="I1" s="293" t="s">
        <v>71</v>
      </c>
      <c r="J1" s="294" t="s">
        <v>38</v>
      </c>
    </row>
    <row r="2" spans="1:10" s="1" customFormat="1" ht="27.75" customHeight="1" thickBot="1">
      <c r="A2" s="525" t="s">
        <v>498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ht="24.75" customHeight="1" thickBot="1">
      <c r="A3" s="16">
        <v>1</v>
      </c>
      <c r="B3" s="17"/>
      <c r="C3" s="528" t="s">
        <v>65</v>
      </c>
      <c r="D3" s="528"/>
      <c r="E3" s="528"/>
      <c r="F3" s="528"/>
      <c r="G3" s="528"/>
      <c r="H3" s="528"/>
      <c r="I3" s="528"/>
      <c r="J3" s="529"/>
    </row>
    <row r="4" spans="1:10" ht="15.75">
      <c r="A4" s="38"/>
      <c r="B4" s="39"/>
      <c r="C4" s="39"/>
      <c r="D4" s="40"/>
      <c r="E4" s="39"/>
      <c r="F4" s="41"/>
      <c r="G4" s="41"/>
      <c r="H4" s="41"/>
      <c r="I4" s="41"/>
      <c r="J4" s="42"/>
    </row>
    <row r="5" spans="1:11" ht="15.75">
      <c r="A5" s="43"/>
      <c r="B5" s="48" t="s">
        <v>4</v>
      </c>
      <c r="C5" s="44" t="s">
        <v>323</v>
      </c>
      <c r="D5" s="45" t="s">
        <v>39</v>
      </c>
      <c r="E5" s="44" t="s">
        <v>6</v>
      </c>
      <c r="F5" s="46">
        <v>1</v>
      </c>
      <c r="G5" s="46"/>
      <c r="H5" s="46"/>
      <c r="I5" s="46">
        <v>2660.87</v>
      </c>
      <c r="J5" s="47">
        <f aca="true" t="shared" si="0" ref="J5:J15">I5*F5</f>
        <v>2660.87</v>
      </c>
      <c r="K5" s="3" t="s">
        <v>322</v>
      </c>
    </row>
    <row r="6" spans="1:11" ht="15.75">
      <c r="A6" s="43"/>
      <c r="B6" s="48" t="s">
        <v>30</v>
      </c>
      <c r="C6" s="44" t="s">
        <v>323</v>
      </c>
      <c r="D6" s="45" t="s">
        <v>40</v>
      </c>
      <c r="E6" s="44" t="s">
        <v>6</v>
      </c>
      <c r="F6" s="46">
        <v>1</v>
      </c>
      <c r="G6" s="46"/>
      <c r="H6" s="46"/>
      <c r="I6" s="46">
        <f>800*1.77</f>
        <v>1416</v>
      </c>
      <c r="J6" s="47">
        <f t="shared" si="0"/>
        <v>1416</v>
      </c>
      <c r="K6" s="3" t="s">
        <v>322</v>
      </c>
    </row>
    <row r="7" spans="1:10" ht="15.75">
      <c r="A7" s="43"/>
      <c r="B7" s="48" t="s">
        <v>29</v>
      </c>
      <c r="C7" s="33" t="s">
        <v>324</v>
      </c>
      <c r="D7" s="34" t="s">
        <v>325</v>
      </c>
      <c r="E7" s="33" t="s">
        <v>7</v>
      </c>
      <c r="F7" s="46">
        <v>246.4</v>
      </c>
      <c r="G7" s="35">
        <v>4.43</v>
      </c>
      <c r="H7" s="36">
        <v>4.16</v>
      </c>
      <c r="I7" s="36">
        <v>8.59</v>
      </c>
      <c r="J7" s="47">
        <f t="shared" si="0"/>
        <v>2116.576</v>
      </c>
    </row>
    <row r="8" spans="1:10" s="2" customFormat="1" ht="15.75">
      <c r="A8" s="43"/>
      <c r="B8" s="48" t="s">
        <v>66</v>
      </c>
      <c r="C8" s="33" t="s">
        <v>326</v>
      </c>
      <c r="D8" s="34" t="s">
        <v>327</v>
      </c>
      <c r="E8" s="33" t="s">
        <v>7</v>
      </c>
      <c r="F8" s="46">
        <v>4.5</v>
      </c>
      <c r="G8" s="35">
        <v>266.96</v>
      </c>
      <c r="H8" s="36">
        <v>65.26</v>
      </c>
      <c r="I8" s="36">
        <v>332.22</v>
      </c>
      <c r="J8" s="47">
        <f t="shared" si="0"/>
        <v>1494.9900000000002</v>
      </c>
    </row>
    <row r="9" spans="1:10" s="2" customFormat="1" ht="47.25">
      <c r="A9" s="43"/>
      <c r="B9" s="48" t="s">
        <v>91</v>
      </c>
      <c r="C9" s="33" t="s">
        <v>328</v>
      </c>
      <c r="D9" s="34" t="s">
        <v>329</v>
      </c>
      <c r="E9" s="44" t="s">
        <v>7</v>
      </c>
      <c r="F9" s="46">
        <v>20</v>
      </c>
      <c r="G9" s="35">
        <v>1.27</v>
      </c>
      <c r="H9" s="36">
        <v>3.66</v>
      </c>
      <c r="I9" s="36">
        <v>4.93</v>
      </c>
      <c r="J9" s="47">
        <f t="shared" si="0"/>
        <v>98.6</v>
      </c>
    </row>
    <row r="10" spans="1:10" s="2" customFormat="1" ht="47.25">
      <c r="A10" s="43"/>
      <c r="B10" s="48" t="s">
        <v>67</v>
      </c>
      <c r="C10" s="33" t="s">
        <v>330</v>
      </c>
      <c r="D10" s="34" t="s">
        <v>331</v>
      </c>
      <c r="E10" s="44" t="s">
        <v>9</v>
      </c>
      <c r="F10" s="46">
        <v>20</v>
      </c>
      <c r="G10" s="35">
        <v>75</v>
      </c>
      <c r="H10" s="36">
        <v>8.79</v>
      </c>
      <c r="I10" s="36">
        <v>83.79</v>
      </c>
      <c r="J10" s="47">
        <f t="shared" si="0"/>
        <v>1675.8000000000002</v>
      </c>
    </row>
    <row r="11" spans="1:10" s="2" customFormat="1" ht="31.5">
      <c r="A11" s="43"/>
      <c r="B11" s="48" t="s">
        <v>72</v>
      </c>
      <c r="C11" s="33" t="s">
        <v>332</v>
      </c>
      <c r="D11" s="34" t="s">
        <v>333</v>
      </c>
      <c r="E11" s="33" t="s">
        <v>9</v>
      </c>
      <c r="F11" s="46">
        <v>6</v>
      </c>
      <c r="G11" s="35">
        <v>7.36</v>
      </c>
      <c r="H11" s="36">
        <v>0.2</v>
      </c>
      <c r="I11" s="36">
        <v>7.56</v>
      </c>
      <c r="J11" s="47">
        <f t="shared" si="0"/>
        <v>45.36</v>
      </c>
    </row>
    <row r="12" spans="1:10" s="2" customFormat="1" ht="47.25">
      <c r="A12" s="43"/>
      <c r="B12" s="48" t="s">
        <v>75</v>
      </c>
      <c r="C12" s="33" t="s">
        <v>334</v>
      </c>
      <c r="D12" s="34" t="s">
        <v>335</v>
      </c>
      <c r="E12" s="44" t="s">
        <v>9</v>
      </c>
      <c r="F12" s="46">
        <v>6</v>
      </c>
      <c r="G12" s="35">
        <v>14.04</v>
      </c>
      <c r="H12" s="36">
        <v>0</v>
      </c>
      <c r="I12" s="36">
        <v>14.04</v>
      </c>
      <c r="J12" s="47">
        <f t="shared" si="0"/>
        <v>84.24</v>
      </c>
    </row>
    <row r="13" spans="1:10" s="2" customFormat="1" ht="31.5">
      <c r="A13" s="43"/>
      <c r="B13" s="48" t="s">
        <v>93</v>
      </c>
      <c r="C13" s="33" t="s">
        <v>336</v>
      </c>
      <c r="D13" s="34" t="s">
        <v>76</v>
      </c>
      <c r="E13" s="33" t="s">
        <v>7</v>
      </c>
      <c r="F13" s="46">
        <v>7.8</v>
      </c>
      <c r="G13" s="35">
        <v>184.24</v>
      </c>
      <c r="H13" s="36">
        <v>85.36</v>
      </c>
      <c r="I13" s="36">
        <v>269.6</v>
      </c>
      <c r="J13" s="47">
        <f t="shared" si="0"/>
        <v>2102.88</v>
      </c>
    </row>
    <row r="14" spans="1:10" s="2" customFormat="1" ht="31.5">
      <c r="A14" s="43"/>
      <c r="B14" s="48" t="s">
        <v>99</v>
      </c>
      <c r="C14" s="33" t="s">
        <v>337</v>
      </c>
      <c r="D14" s="34" t="s">
        <v>338</v>
      </c>
      <c r="E14" s="33" t="s">
        <v>9</v>
      </c>
      <c r="F14" s="46">
        <v>6</v>
      </c>
      <c r="G14" s="35">
        <v>0</v>
      </c>
      <c r="H14" s="36">
        <v>43.95</v>
      </c>
      <c r="I14" s="36">
        <v>43.95</v>
      </c>
      <c r="J14" s="47">
        <f t="shared" si="0"/>
        <v>263.70000000000005</v>
      </c>
    </row>
    <row r="15" spans="1:10" s="2" customFormat="1" ht="48" thickBot="1">
      <c r="A15" s="53"/>
      <c r="B15" s="54" t="s">
        <v>100</v>
      </c>
      <c r="C15" s="55" t="s">
        <v>339</v>
      </c>
      <c r="D15" s="56" t="s">
        <v>340</v>
      </c>
      <c r="E15" s="55" t="s">
        <v>7</v>
      </c>
      <c r="F15" s="57">
        <v>52</v>
      </c>
      <c r="G15" s="58">
        <v>12.55</v>
      </c>
      <c r="H15" s="59">
        <v>2.93</v>
      </c>
      <c r="I15" s="59">
        <v>15.48</v>
      </c>
      <c r="J15" s="60">
        <f t="shared" si="0"/>
        <v>804.96</v>
      </c>
    </row>
    <row r="16" spans="1:10" ht="15" customHeight="1" thickBot="1">
      <c r="A16" s="69"/>
      <c r="B16" s="70"/>
      <c r="C16" s="70"/>
      <c r="D16" s="88" t="s">
        <v>70</v>
      </c>
      <c r="E16" s="70"/>
      <c r="F16" s="75"/>
      <c r="G16" s="75"/>
      <c r="H16" s="75"/>
      <c r="I16" s="75">
        <f>G16+H16</f>
        <v>0</v>
      </c>
      <c r="J16" s="78">
        <f>SUM(J5:J15)</f>
        <v>12763.975999999999</v>
      </c>
    </row>
    <row r="17" spans="1:10" s="2" customFormat="1" ht="16.5" thickBot="1">
      <c r="A17" s="295"/>
      <c r="B17" s="134"/>
      <c r="C17" s="134"/>
      <c r="D17" s="241"/>
      <c r="E17" s="134"/>
      <c r="F17" s="138"/>
      <c r="G17" s="138"/>
      <c r="H17" s="138"/>
      <c r="I17" s="138">
        <f>G17+H17</f>
        <v>0</v>
      </c>
      <c r="J17" s="139">
        <f>I17*F17</f>
        <v>0</v>
      </c>
    </row>
    <row r="18" spans="1:10" s="2" customFormat="1" ht="24.75" customHeight="1" thickBot="1">
      <c r="A18" s="16">
        <v>2</v>
      </c>
      <c r="B18" s="17"/>
      <c r="C18" s="528" t="s">
        <v>133</v>
      </c>
      <c r="D18" s="528"/>
      <c r="E18" s="528"/>
      <c r="F18" s="528"/>
      <c r="G18" s="528"/>
      <c r="H18" s="528"/>
      <c r="I18" s="528"/>
      <c r="J18" s="529"/>
    </row>
    <row r="19" spans="1:10" s="2" customFormat="1" ht="15.75">
      <c r="A19" s="38"/>
      <c r="B19" s="39"/>
      <c r="C19" s="39"/>
      <c r="D19" s="40"/>
      <c r="E19" s="39"/>
      <c r="F19" s="41"/>
      <c r="G19" s="41"/>
      <c r="H19" s="41"/>
      <c r="I19" s="41"/>
      <c r="J19" s="42"/>
    </row>
    <row r="20" spans="1:10" s="7" customFormat="1" ht="31.5">
      <c r="A20" s="43"/>
      <c r="B20" s="48" t="s">
        <v>25</v>
      </c>
      <c r="C20" s="44" t="s">
        <v>341</v>
      </c>
      <c r="D20" s="45" t="s">
        <v>342</v>
      </c>
      <c r="E20" s="44" t="s">
        <v>12</v>
      </c>
      <c r="F20" s="46">
        <v>1</v>
      </c>
      <c r="G20" s="46">
        <v>369.48</v>
      </c>
      <c r="H20" s="46">
        <v>137.36</v>
      </c>
      <c r="I20" s="46">
        <v>506.84</v>
      </c>
      <c r="J20" s="47">
        <f>I20*F20</f>
        <v>506.84</v>
      </c>
    </row>
    <row r="21" spans="1:10" s="2" customFormat="1" ht="15.75">
      <c r="A21" s="43"/>
      <c r="B21" s="48"/>
      <c r="C21" s="33" t="s">
        <v>343</v>
      </c>
      <c r="D21" s="34" t="s">
        <v>344</v>
      </c>
      <c r="E21" s="33" t="s">
        <v>12</v>
      </c>
      <c r="F21" s="46">
        <v>1</v>
      </c>
      <c r="G21" s="35">
        <v>763.25</v>
      </c>
      <c r="H21" s="36">
        <v>218.96</v>
      </c>
      <c r="I21" s="36">
        <v>982.21</v>
      </c>
      <c r="J21" s="47">
        <f>I21*F21</f>
        <v>982.21</v>
      </c>
    </row>
    <row r="22" spans="1:11" s="2" customFormat="1" ht="78.75">
      <c r="A22" s="43"/>
      <c r="B22" s="48" t="s">
        <v>26</v>
      </c>
      <c r="C22" s="33" t="s">
        <v>345</v>
      </c>
      <c r="D22" s="34" t="s">
        <v>278</v>
      </c>
      <c r="E22" s="44" t="s">
        <v>13</v>
      </c>
      <c r="F22" s="46">
        <v>100</v>
      </c>
      <c r="G22" s="35">
        <v>1.42</v>
      </c>
      <c r="H22" s="36">
        <v>4.26</v>
      </c>
      <c r="I22" s="36">
        <f>(H22+G22)+1.77</f>
        <v>7.449999999999999</v>
      </c>
      <c r="J22" s="47">
        <f>I22*F22</f>
        <v>744.9999999999999</v>
      </c>
      <c r="K22" s="2" t="s">
        <v>322</v>
      </c>
    </row>
    <row r="23" spans="1:10" s="7" customFormat="1" ht="32.25" thickBot="1">
      <c r="A23" s="53"/>
      <c r="B23" s="54" t="s">
        <v>27</v>
      </c>
      <c r="C23" s="55" t="s">
        <v>346</v>
      </c>
      <c r="D23" s="56" t="s">
        <v>347</v>
      </c>
      <c r="E23" s="55" t="s">
        <v>13</v>
      </c>
      <c r="F23" s="57">
        <v>300</v>
      </c>
      <c r="G23" s="58">
        <v>1.6</v>
      </c>
      <c r="H23" s="59">
        <v>2.41</v>
      </c>
      <c r="I23" s="59">
        <v>4.01</v>
      </c>
      <c r="J23" s="60">
        <f>I23*F23</f>
        <v>1203</v>
      </c>
    </row>
    <row r="24" spans="1:10" s="2" customFormat="1" ht="16.5" thickBot="1">
      <c r="A24" s="69"/>
      <c r="B24" s="70"/>
      <c r="C24" s="73"/>
      <c r="D24" s="74" t="s">
        <v>111</v>
      </c>
      <c r="E24" s="73"/>
      <c r="F24" s="75"/>
      <c r="G24" s="76"/>
      <c r="H24" s="77"/>
      <c r="I24" s="77">
        <f>H24+G24</f>
        <v>0</v>
      </c>
      <c r="J24" s="78">
        <f>SUM(J17:J23)</f>
        <v>3437.0499999999997</v>
      </c>
    </row>
    <row r="25" spans="1:11" ht="16.5" thickBot="1">
      <c r="A25" s="61"/>
      <c r="B25" s="62"/>
      <c r="C25" s="63"/>
      <c r="D25" s="64"/>
      <c r="E25" s="63"/>
      <c r="F25" s="65"/>
      <c r="G25" s="66"/>
      <c r="H25" s="67"/>
      <c r="I25" s="67">
        <f>H25+G25</f>
        <v>0</v>
      </c>
      <c r="J25" s="68">
        <f>I25*F25</f>
        <v>0</v>
      </c>
      <c r="K25" s="2"/>
    </row>
    <row r="26" spans="1:11" ht="24.75" customHeight="1" thickBot="1">
      <c r="A26" s="16">
        <v>3</v>
      </c>
      <c r="B26" s="18"/>
      <c r="C26" s="530" t="s">
        <v>135</v>
      </c>
      <c r="D26" s="530"/>
      <c r="E26" s="530"/>
      <c r="F26" s="530"/>
      <c r="G26" s="530"/>
      <c r="H26" s="530"/>
      <c r="I26" s="530"/>
      <c r="J26" s="531"/>
      <c r="K26" s="2"/>
    </row>
    <row r="27" spans="1:10" s="2" customFormat="1" ht="18" customHeight="1">
      <c r="A27" s="38"/>
      <c r="B27" s="39"/>
      <c r="C27" s="39"/>
      <c r="D27" s="40"/>
      <c r="E27" s="39"/>
      <c r="F27" s="41"/>
      <c r="G27" s="41"/>
      <c r="H27" s="41"/>
      <c r="I27" s="41"/>
      <c r="J27" s="42"/>
    </row>
    <row r="28" spans="1:10" s="2" customFormat="1" ht="31.5">
      <c r="A28" s="43"/>
      <c r="B28" s="48" t="s">
        <v>8</v>
      </c>
      <c r="C28" s="44" t="s">
        <v>348</v>
      </c>
      <c r="D28" s="45" t="s">
        <v>349</v>
      </c>
      <c r="E28" s="44" t="s">
        <v>13</v>
      </c>
      <c r="F28" s="46">
        <v>20</v>
      </c>
      <c r="G28" s="46">
        <v>9.34</v>
      </c>
      <c r="H28" s="46">
        <v>18.02</v>
      </c>
      <c r="I28" s="46">
        <v>27.36</v>
      </c>
      <c r="J28" s="47">
        <f>I28*F28</f>
        <v>547.2</v>
      </c>
    </row>
    <row r="29" spans="1:10" s="2" customFormat="1" ht="32.25" thickBot="1">
      <c r="A29" s="43"/>
      <c r="B29" s="48" t="s">
        <v>46</v>
      </c>
      <c r="C29" s="33" t="s">
        <v>350</v>
      </c>
      <c r="D29" s="34" t="s">
        <v>351</v>
      </c>
      <c r="E29" s="44" t="s">
        <v>13</v>
      </c>
      <c r="F29" s="46">
        <v>300</v>
      </c>
      <c r="G29" s="35">
        <v>15.2</v>
      </c>
      <c r="H29" s="36">
        <v>3.6</v>
      </c>
      <c r="I29" s="36">
        <v>18.8</v>
      </c>
      <c r="J29" s="47">
        <f>I29*F29</f>
        <v>5640</v>
      </c>
    </row>
    <row r="30" spans="1:10" s="2" customFormat="1" ht="16.5" thickBot="1">
      <c r="A30" s="69"/>
      <c r="B30" s="70"/>
      <c r="C30" s="73"/>
      <c r="D30" s="74" t="s">
        <v>112</v>
      </c>
      <c r="E30" s="73"/>
      <c r="F30" s="75"/>
      <c r="G30" s="76"/>
      <c r="H30" s="77"/>
      <c r="I30" s="77">
        <f>H30+G30</f>
        <v>0</v>
      </c>
      <c r="J30" s="78">
        <f>SUM(J28:J29)</f>
        <v>6187.2</v>
      </c>
    </row>
    <row r="31" spans="1:10" s="2" customFormat="1" ht="16.5" thickBot="1">
      <c r="A31" s="61"/>
      <c r="B31" s="62"/>
      <c r="C31" s="63"/>
      <c r="D31" s="64"/>
      <c r="E31" s="63"/>
      <c r="F31" s="65"/>
      <c r="G31" s="66"/>
      <c r="H31" s="67"/>
      <c r="I31" s="67"/>
      <c r="J31" s="68"/>
    </row>
    <row r="32" spans="1:10" ht="24.75" customHeight="1" thickBot="1">
      <c r="A32" s="16">
        <v>4</v>
      </c>
      <c r="B32" s="19"/>
      <c r="C32" s="530" t="s">
        <v>136</v>
      </c>
      <c r="D32" s="530"/>
      <c r="E32" s="530"/>
      <c r="F32" s="530"/>
      <c r="G32" s="530"/>
      <c r="H32" s="530"/>
      <c r="I32" s="530"/>
      <c r="J32" s="531"/>
    </row>
    <row r="33" spans="1:10" s="2" customFormat="1" ht="15.75">
      <c r="A33" s="38"/>
      <c r="B33" s="39"/>
      <c r="C33" s="39"/>
      <c r="D33" s="82"/>
      <c r="E33" s="39"/>
      <c r="F33" s="41"/>
      <c r="G33" s="41"/>
      <c r="H33" s="41"/>
      <c r="I33" s="41"/>
      <c r="J33" s="42"/>
    </row>
    <row r="34" spans="1:10" s="2" customFormat="1" ht="47.25">
      <c r="A34" s="43"/>
      <c r="B34" s="48" t="s">
        <v>41</v>
      </c>
      <c r="C34" s="44" t="s">
        <v>345</v>
      </c>
      <c r="D34" s="45" t="s">
        <v>137</v>
      </c>
      <c r="E34" s="44" t="s">
        <v>6</v>
      </c>
      <c r="F34" s="46">
        <v>1</v>
      </c>
      <c r="G34" s="46"/>
      <c r="H34" s="46"/>
      <c r="I34" s="46">
        <f>1300*1.77</f>
        <v>2301</v>
      </c>
      <c r="J34" s="47">
        <f>I34*F34</f>
        <v>2301</v>
      </c>
    </row>
    <row r="35" spans="1:10" s="2" customFormat="1" ht="15.75">
      <c r="A35" s="43"/>
      <c r="B35" s="48" t="s">
        <v>47</v>
      </c>
      <c r="C35" s="44" t="s">
        <v>345</v>
      </c>
      <c r="D35" s="45" t="s">
        <v>138</v>
      </c>
      <c r="E35" s="44" t="s">
        <v>6</v>
      </c>
      <c r="F35" s="46">
        <v>1</v>
      </c>
      <c r="G35" s="46"/>
      <c r="H35" s="46"/>
      <c r="I35" s="46">
        <f>700*1.77</f>
        <v>1239</v>
      </c>
      <c r="J35" s="47">
        <f>I35*F35</f>
        <v>1239</v>
      </c>
    </row>
    <row r="36" spans="1:10" s="2" customFormat="1" ht="16.5" thickBot="1">
      <c r="A36" s="53"/>
      <c r="B36" s="83"/>
      <c r="C36" s="83"/>
      <c r="D36" s="84"/>
      <c r="E36" s="83"/>
      <c r="F36" s="57"/>
      <c r="G36" s="57"/>
      <c r="H36" s="57"/>
      <c r="I36" s="57"/>
      <c r="J36" s="60"/>
    </row>
    <row r="37" spans="1:10" s="2" customFormat="1" ht="16.5" thickBot="1">
      <c r="A37" s="69"/>
      <c r="B37" s="87"/>
      <c r="C37" s="87"/>
      <c r="D37" s="88" t="s">
        <v>114</v>
      </c>
      <c r="E37" s="70"/>
      <c r="F37" s="75"/>
      <c r="G37" s="75"/>
      <c r="H37" s="75"/>
      <c r="I37" s="75">
        <f>H37+G37</f>
        <v>0</v>
      </c>
      <c r="J37" s="78">
        <f>SUM(J33:J36)</f>
        <v>3540</v>
      </c>
    </row>
    <row r="38" spans="1:10" s="2" customFormat="1" ht="15.75">
      <c r="A38" s="532" t="s">
        <v>32</v>
      </c>
      <c r="B38" s="533"/>
      <c r="C38" s="533"/>
      <c r="D38" s="533"/>
      <c r="E38" s="20"/>
      <c r="F38" s="21"/>
      <c r="G38" s="22"/>
      <c r="H38" s="22"/>
      <c r="I38" s="22"/>
      <c r="J38" s="79">
        <f>J37+J30+J24+J16</f>
        <v>25928.226</v>
      </c>
    </row>
    <row r="39" spans="1:10" ht="15">
      <c r="A39" s="523" t="s">
        <v>519</v>
      </c>
      <c r="B39" s="524"/>
      <c r="C39" s="524"/>
      <c r="D39" s="524"/>
      <c r="E39" s="20"/>
      <c r="F39" s="21"/>
      <c r="G39" s="22"/>
      <c r="H39" s="22"/>
      <c r="I39" s="22"/>
      <c r="J39" s="23">
        <f>J38*0.3</f>
        <v>7778.467799999999</v>
      </c>
    </row>
    <row r="40" spans="1:10" ht="18.75" thickBot="1">
      <c r="A40" s="523" t="s">
        <v>64</v>
      </c>
      <c r="B40" s="524"/>
      <c r="C40" s="524"/>
      <c r="D40" s="524"/>
      <c r="E40" s="24"/>
      <c r="F40" s="25"/>
      <c r="G40" s="26"/>
      <c r="H40" s="26"/>
      <c r="I40" s="26"/>
      <c r="J40" s="27">
        <f>SUM(J38:J39)</f>
        <v>33706.6938</v>
      </c>
    </row>
    <row r="42" ht="12.75">
      <c r="F42" s="9"/>
    </row>
    <row r="43" ht="12.75">
      <c r="F43" s="9"/>
    </row>
  </sheetData>
  <sheetProtection/>
  <mergeCells count="8">
    <mergeCell ref="A40:D40"/>
    <mergeCell ref="A2:J2"/>
    <mergeCell ref="C18:J18"/>
    <mergeCell ref="C3:J3"/>
    <mergeCell ref="C26:J26"/>
    <mergeCell ref="C32:J32"/>
    <mergeCell ref="A38:D38"/>
    <mergeCell ref="A39:D39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fitToWidth="1" horizontalDpi="300" verticalDpi="300" orientation="portrait" scale="61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L55"/>
  <sheetViews>
    <sheetView showZeros="0" view="pageBreakPreview" zoomScale="95" zoomScaleSheetLayoutView="95" workbookViewId="0" topLeftCell="A36">
      <selection activeCell="H45" sqref="H45"/>
    </sheetView>
  </sheetViews>
  <sheetFormatPr defaultColWidth="11.421875" defaultRowHeight="12.75"/>
  <cols>
    <col min="1" max="1" width="5.7109375" style="29" customWidth="1"/>
    <col min="2" max="2" width="8.7109375" style="37" customWidth="1"/>
    <col min="3" max="3" width="13.57421875" style="29" customWidth="1"/>
    <col min="4" max="4" width="57.140625" style="104" customWidth="1"/>
    <col min="5" max="5" width="11.7109375" style="29" customWidth="1"/>
    <col min="6" max="6" width="10.7109375" style="102" customWidth="1"/>
    <col min="7" max="7" width="11.7109375" style="105" customWidth="1"/>
    <col min="8" max="8" width="11.7109375" style="106" customWidth="1"/>
    <col min="9" max="9" width="11.7109375" style="105" customWidth="1"/>
    <col min="10" max="10" width="15.7109375" style="105" customWidth="1"/>
    <col min="11" max="12" width="11.421875" style="130" customWidth="1"/>
    <col min="13" max="16384" width="11.421875" style="131" customWidth="1"/>
  </cols>
  <sheetData>
    <row r="1" spans="1:12" s="29" customFormat="1" ht="32.25" thickBot="1">
      <c r="A1" s="96" t="s">
        <v>0</v>
      </c>
      <c r="B1" s="97" t="s">
        <v>1</v>
      </c>
      <c r="C1" s="97" t="s">
        <v>321</v>
      </c>
      <c r="D1" s="97" t="s">
        <v>69</v>
      </c>
      <c r="E1" s="97" t="s">
        <v>2</v>
      </c>
      <c r="F1" s="98" t="s">
        <v>3</v>
      </c>
      <c r="G1" s="99" t="s">
        <v>22</v>
      </c>
      <c r="H1" s="100" t="s">
        <v>23</v>
      </c>
      <c r="I1" s="99" t="s">
        <v>71</v>
      </c>
      <c r="J1" s="101" t="s">
        <v>24</v>
      </c>
      <c r="K1" s="102"/>
      <c r="L1" s="102"/>
    </row>
    <row r="2" spans="1:12" s="29" customFormat="1" ht="27.75" customHeight="1">
      <c r="A2" s="534" t="s">
        <v>499</v>
      </c>
      <c r="B2" s="535"/>
      <c r="C2" s="535"/>
      <c r="D2" s="535"/>
      <c r="E2" s="535"/>
      <c r="F2" s="535"/>
      <c r="G2" s="535"/>
      <c r="H2" s="535"/>
      <c r="I2" s="535"/>
      <c r="J2" s="536"/>
      <c r="K2" s="102"/>
      <c r="L2" s="102"/>
    </row>
    <row r="3" spans="1:12" s="29" customFormat="1" ht="16.5" thickBot="1">
      <c r="A3" s="103"/>
      <c r="B3" s="37"/>
      <c r="D3" s="104"/>
      <c r="F3" s="102"/>
      <c r="G3" s="105"/>
      <c r="H3" s="106"/>
      <c r="I3" s="105"/>
      <c r="J3" s="107"/>
      <c r="K3" s="102"/>
      <c r="L3" s="102"/>
    </row>
    <row r="4" spans="1:12" s="111" customFormat="1" ht="24.75" customHeight="1" thickBot="1">
      <c r="A4" s="108">
        <v>1</v>
      </c>
      <c r="B4" s="109"/>
      <c r="C4" s="539" t="s">
        <v>139</v>
      </c>
      <c r="D4" s="539"/>
      <c r="E4" s="539"/>
      <c r="F4" s="539"/>
      <c r="G4" s="539"/>
      <c r="H4" s="539"/>
      <c r="I4" s="539"/>
      <c r="J4" s="540"/>
      <c r="K4" s="110"/>
      <c r="L4" s="110"/>
    </row>
    <row r="5" spans="1:12" s="29" customFormat="1" ht="31.5">
      <c r="A5" s="112"/>
      <c r="B5" s="203" t="s">
        <v>4</v>
      </c>
      <c r="C5" s="113" t="s">
        <v>337</v>
      </c>
      <c r="D5" s="114" t="s">
        <v>338</v>
      </c>
      <c r="E5" s="113" t="s">
        <v>9</v>
      </c>
      <c r="F5" s="115">
        <v>45</v>
      </c>
      <c r="G5" s="116">
        <v>0</v>
      </c>
      <c r="H5" s="117">
        <v>43.95</v>
      </c>
      <c r="I5" s="117">
        <v>43.95</v>
      </c>
      <c r="J5" s="42">
        <f>I5*F5</f>
        <v>1977.7500000000002</v>
      </c>
      <c r="K5" s="102"/>
      <c r="L5" s="102"/>
    </row>
    <row r="6" spans="1:12" s="104" customFormat="1" ht="31.5">
      <c r="A6" s="118"/>
      <c r="B6" s="48" t="s">
        <v>30</v>
      </c>
      <c r="C6" s="33" t="s">
        <v>352</v>
      </c>
      <c r="D6" s="34" t="s">
        <v>353</v>
      </c>
      <c r="E6" s="33" t="s">
        <v>9</v>
      </c>
      <c r="F6" s="119">
        <v>20</v>
      </c>
      <c r="G6" s="35">
        <v>0</v>
      </c>
      <c r="H6" s="36">
        <v>13.66</v>
      </c>
      <c r="I6" s="36">
        <v>13.66</v>
      </c>
      <c r="J6" s="47">
        <f aca="true" t="shared" si="0" ref="J6:J46">I6*F6</f>
        <v>273.2</v>
      </c>
      <c r="K6" s="32"/>
      <c r="L6" s="32"/>
    </row>
    <row r="7" spans="1:12" s="29" customFormat="1" ht="16.5" thickBot="1">
      <c r="A7" s="120"/>
      <c r="B7" s="48"/>
      <c r="C7" s="44"/>
      <c r="D7" s="121"/>
      <c r="E7" s="83"/>
      <c r="F7" s="122"/>
      <c r="G7" s="123"/>
      <c r="H7" s="124"/>
      <c r="I7" s="57"/>
      <c r="J7" s="60"/>
      <c r="K7" s="102"/>
      <c r="L7" s="102"/>
    </row>
    <row r="8" spans="1:10" ht="16.5" thickBot="1">
      <c r="A8" s="120"/>
      <c r="B8" s="48"/>
      <c r="C8" s="125"/>
      <c r="D8" s="126" t="s">
        <v>57</v>
      </c>
      <c r="E8" s="70"/>
      <c r="F8" s="127"/>
      <c r="G8" s="128"/>
      <c r="H8" s="129"/>
      <c r="I8" s="75">
        <f>SUM(G8:H8)</f>
        <v>0</v>
      </c>
      <c r="J8" s="78">
        <f>SUM(J5:J6)</f>
        <v>2250.9500000000003</v>
      </c>
    </row>
    <row r="9" spans="1:10" ht="16.5" thickBot="1">
      <c r="A9" s="132"/>
      <c r="B9" s="225"/>
      <c r="C9" s="50"/>
      <c r="D9" s="133"/>
      <c r="E9" s="134"/>
      <c r="F9" s="135"/>
      <c r="G9" s="136"/>
      <c r="H9" s="137"/>
      <c r="I9" s="138"/>
      <c r="J9" s="139"/>
    </row>
    <row r="10" spans="1:12" ht="24.75" customHeight="1" thickBot="1">
      <c r="A10" s="140">
        <v>2</v>
      </c>
      <c r="B10" s="308" t="s">
        <v>5</v>
      </c>
      <c r="C10" s="541" t="s">
        <v>140</v>
      </c>
      <c r="D10" s="541"/>
      <c r="E10" s="541"/>
      <c r="F10" s="541"/>
      <c r="G10" s="541"/>
      <c r="H10" s="541"/>
      <c r="I10" s="541"/>
      <c r="J10" s="542"/>
      <c r="K10" s="131"/>
      <c r="L10" s="131"/>
    </row>
    <row r="11" spans="1:12" ht="31.5">
      <c r="A11" s="141"/>
      <c r="B11" s="309" t="s">
        <v>25</v>
      </c>
      <c r="C11" s="113" t="s">
        <v>354</v>
      </c>
      <c r="D11" s="114" t="s">
        <v>355</v>
      </c>
      <c r="E11" s="113" t="s">
        <v>28</v>
      </c>
      <c r="F11" s="142">
        <v>70</v>
      </c>
      <c r="G11" s="116">
        <v>3.68</v>
      </c>
      <c r="H11" s="117">
        <v>1.85</v>
      </c>
      <c r="I11" s="117">
        <v>5.53</v>
      </c>
      <c r="J11" s="42">
        <f t="shared" si="0"/>
        <v>387.1</v>
      </c>
      <c r="K11" s="131"/>
      <c r="L11" s="131"/>
    </row>
    <row r="12" spans="1:12" ht="31.5">
      <c r="A12" s="143"/>
      <c r="B12" s="310" t="s">
        <v>26</v>
      </c>
      <c r="C12" s="33" t="s">
        <v>354</v>
      </c>
      <c r="D12" s="34" t="s">
        <v>357</v>
      </c>
      <c r="E12" s="144" t="s">
        <v>28</v>
      </c>
      <c r="F12" s="145">
        <v>6</v>
      </c>
      <c r="G12" s="35">
        <v>3.68</v>
      </c>
      <c r="H12" s="36">
        <v>1.85</v>
      </c>
      <c r="I12" s="36">
        <v>5.53</v>
      </c>
      <c r="J12" s="47">
        <f t="shared" si="0"/>
        <v>33.18</v>
      </c>
      <c r="K12" s="131"/>
      <c r="L12" s="131"/>
    </row>
    <row r="13" spans="1:12" ht="31.5">
      <c r="A13" s="143"/>
      <c r="B13" s="310" t="s">
        <v>27</v>
      </c>
      <c r="C13" s="33" t="s">
        <v>354</v>
      </c>
      <c r="D13" s="34" t="s">
        <v>356</v>
      </c>
      <c r="E13" s="144" t="s">
        <v>28</v>
      </c>
      <c r="F13" s="145">
        <v>232</v>
      </c>
      <c r="G13" s="35">
        <v>3.68</v>
      </c>
      <c r="H13" s="36">
        <v>1.85</v>
      </c>
      <c r="I13" s="36">
        <v>5.53</v>
      </c>
      <c r="J13" s="47">
        <f t="shared" si="0"/>
        <v>1282.96</v>
      </c>
      <c r="K13" s="131"/>
      <c r="L13" s="131"/>
    </row>
    <row r="14" spans="1:12" ht="16.5" thickBot="1">
      <c r="A14" s="143"/>
      <c r="B14" s="310"/>
      <c r="C14" s="144"/>
      <c r="D14" s="146"/>
      <c r="E14" s="147"/>
      <c r="F14" s="148"/>
      <c r="G14" s="149"/>
      <c r="H14" s="150"/>
      <c r="I14" s="57"/>
      <c r="J14" s="60"/>
      <c r="K14" s="131"/>
      <c r="L14" s="131"/>
    </row>
    <row r="15" spans="1:10" ht="16.5" thickBot="1">
      <c r="A15" s="120"/>
      <c r="B15" s="48"/>
      <c r="C15" s="125"/>
      <c r="D15" s="126" t="s">
        <v>56</v>
      </c>
      <c r="E15" s="70"/>
      <c r="F15" s="151"/>
      <c r="G15" s="152"/>
      <c r="H15" s="153"/>
      <c r="I15" s="75"/>
      <c r="J15" s="78">
        <f>SUM(J10:J13)</f>
        <v>1703.24</v>
      </c>
    </row>
    <row r="16" spans="1:10" ht="16.5" thickBot="1">
      <c r="A16" s="132"/>
      <c r="B16" s="225"/>
      <c r="C16" s="50"/>
      <c r="D16" s="133"/>
      <c r="E16" s="134"/>
      <c r="F16" s="135"/>
      <c r="G16" s="136"/>
      <c r="H16" s="137"/>
      <c r="I16" s="138"/>
      <c r="J16" s="139"/>
    </row>
    <row r="17" spans="1:10" ht="24.75" customHeight="1" thickBot="1">
      <c r="A17" s="108">
        <v>3</v>
      </c>
      <c r="B17" s="109"/>
      <c r="C17" s="543" t="s">
        <v>89</v>
      </c>
      <c r="D17" s="543"/>
      <c r="E17" s="543"/>
      <c r="F17" s="543"/>
      <c r="G17" s="543"/>
      <c r="H17" s="543"/>
      <c r="I17" s="543"/>
      <c r="J17" s="544"/>
    </row>
    <row r="18" spans="1:10" ht="15.75">
      <c r="A18" s="112"/>
      <c r="B18" s="203" t="s">
        <v>8</v>
      </c>
      <c r="C18" s="113" t="s">
        <v>358</v>
      </c>
      <c r="D18" s="114" t="s">
        <v>359</v>
      </c>
      <c r="E18" s="113" t="s">
        <v>9</v>
      </c>
      <c r="F18" s="115">
        <v>10</v>
      </c>
      <c r="G18" s="116">
        <v>215.66</v>
      </c>
      <c r="H18" s="117">
        <v>87.9</v>
      </c>
      <c r="I18" s="117">
        <v>303.56</v>
      </c>
      <c r="J18" s="42">
        <f t="shared" si="0"/>
        <v>3035.6</v>
      </c>
    </row>
    <row r="19" spans="1:10" ht="31.5">
      <c r="A19" s="120"/>
      <c r="B19" s="48" t="s">
        <v>46</v>
      </c>
      <c r="C19" s="33" t="s">
        <v>360</v>
      </c>
      <c r="D19" s="34" t="s">
        <v>361</v>
      </c>
      <c r="E19" s="33" t="s">
        <v>9</v>
      </c>
      <c r="F19" s="119">
        <v>1</v>
      </c>
      <c r="G19" s="35">
        <v>188.48</v>
      </c>
      <c r="H19" s="36">
        <v>36.63</v>
      </c>
      <c r="I19" s="36">
        <v>225.11</v>
      </c>
      <c r="J19" s="47">
        <f t="shared" si="0"/>
        <v>225.11</v>
      </c>
    </row>
    <row r="20" spans="1:10" ht="31.5">
      <c r="A20" s="120"/>
      <c r="B20" s="48" t="s">
        <v>53</v>
      </c>
      <c r="C20" s="33" t="s">
        <v>362</v>
      </c>
      <c r="D20" s="34" t="s">
        <v>363</v>
      </c>
      <c r="E20" s="33" t="s">
        <v>9</v>
      </c>
      <c r="F20" s="119">
        <v>11</v>
      </c>
      <c r="G20" s="35">
        <v>0</v>
      </c>
      <c r="H20" s="36">
        <v>123.4</v>
      </c>
      <c r="I20" s="36">
        <v>123.4</v>
      </c>
      <c r="J20" s="47">
        <f t="shared" si="0"/>
        <v>1357.4</v>
      </c>
    </row>
    <row r="21" spans="1:10" ht="16.5" thickBot="1">
      <c r="A21" s="120"/>
      <c r="B21" s="48"/>
      <c r="C21" s="44"/>
      <c r="D21" s="155"/>
      <c r="E21" s="83"/>
      <c r="F21" s="122"/>
      <c r="G21" s="123"/>
      <c r="H21" s="124"/>
      <c r="I21" s="57"/>
      <c r="J21" s="60"/>
    </row>
    <row r="22" spans="1:10" ht="16.5" thickBot="1">
      <c r="A22" s="120"/>
      <c r="B22" s="48"/>
      <c r="C22" s="125"/>
      <c r="D22" s="126" t="s">
        <v>59</v>
      </c>
      <c r="E22" s="70"/>
      <c r="F22" s="127"/>
      <c r="G22" s="128"/>
      <c r="H22" s="129"/>
      <c r="I22" s="75">
        <f>SUM(G22:H22)</f>
        <v>0</v>
      </c>
      <c r="J22" s="78">
        <f>SUM(J17:J20)</f>
        <v>4618.110000000001</v>
      </c>
    </row>
    <row r="23" spans="1:10" ht="16.5" thickBot="1">
      <c r="A23" s="132"/>
      <c r="B23" s="225"/>
      <c r="C23" s="50"/>
      <c r="D23" s="133"/>
      <c r="E23" s="134"/>
      <c r="F23" s="135"/>
      <c r="G23" s="136"/>
      <c r="H23" s="137"/>
      <c r="I23" s="138"/>
      <c r="J23" s="139"/>
    </row>
    <row r="24" spans="1:10" ht="24.75" customHeight="1" thickBot="1">
      <c r="A24" s="108">
        <v>4</v>
      </c>
      <c r="B24" s="109"/>
      <c r="C24" s="543" t="s">
        <v>141</v>
      </c>
      <c r="D24" s="543"/>
      <c r="E24" s="543"/>
      <c r="F24" s="543"/>
      <c r="G24" s="543"/>
      <c r="H24" s="543"/>
      <c r="I24" s="543"/>
      <c r="J24" s="544"/>
    </row>
    <row r="25" spans="1:10" ht="31.5">
      <c r="A25" s="112"/>
      <c r="B25" s="203" t="s">
        <v>41</v>
      </c>
      <c r="C25" s="113" t="s">
        <v>364</v>
      </c>
      <c r="D25" s="114" t="s">
        <v>50</v>
      </c>
      <c r="E25" s="113" t="s">
        <v>7</v>
      </c>
      <c r="F25" s="115">
        <v>33</v>
      </c>
      <c r="G25" s="116">
        <v>47.69</v>
      </c>
      <c r="H25" s="117">
        <v>26.35</v>
      </c>
      <c r="I25" s="117">
        <v>74.04</v>
      </c>
      <c r="J25" s="42">
        <f>I25*F25</f>
        <v>2443.32</v>
      </c>
    </row>
    <row r="26" spans="1:10" ht="47.25">
      <c r="A26" s="120"/>
      <c r="B26" s="48" t="s">
        <v>47</v>
      </c>
      <c r="C26" s="33" t="s">
        <v>365</v>
      </c>
      <c r="D26" s="34" t="s">
        <v>366</v>
      </c>
      <c r="E26" s="33" t="s">
        <v>7</v>
      </c>
      <c r="F26" s="119">
        <v>60</v>
      </c>
      <c r="G26" s="35">
        <v>41.17</v>
      </c>
      <c r="H26" s="36">
        <v>16.21</v>
      </c>
      <c r="I26" s="36">
        <v>57.38</v>
      </c>
      <c r="J26" s="47">
        <f>I26*F26</f>
        <v>3442.8</v>
      </c>
    </row>
    <row r="27" spans="1:10" ht="16.5" thickBot="1">
      <c r="A27" s="120"/>
      <c r="B27" s="48"/>
      <c r="C27" s="44"/>
      <c r="D27" s="84"/>
      <c r="E27" s="83"/>
      <c r="F27" s="122"/>
      <c r="G27" s="123"/>
      <c r="H27" s="124"/>
      <c r="I27" s="57"/>
      <c r="J27" s="156"/>
    </row>
    <row r="28" spans="1:10" ht="16.5" thickBot="1">
      <c r="A28" s="120"/>
      <c r="B28" s="48"/>
      <c r="C28" s="125"/>
      <c r="D28" s="126" t="s">
        <v>107</v>
      </c>
      <c r="E28" s="87" t="s">
        <v>5</v>
      </c>
      <c r="F28" s="157"/>
      <c r="G28" s="158"/>
      <c r="H28" s="159"/>
      <c r="I28" s="71">
        <f>SUM(G28:H28)</f>
        <v>0</v>
      </c>
      <c r="J28" s="78">
        <f>SUM(J25:J26)</f>
        <v>5886.120000000001</v>
      </c>
    </row>
    <row r="29" spans="1:10" ht="16.5" thickBot="1">
      <c r="A29" s="132"/>
      <c r="B29" s="225"/>
      <c r="C29" s="50"/>
      <c r="D29" s="133"/>
      <c r="E29" s="134"/>
      <c r="F29" s="135"/>
      <c r="G29" s="136"/>
      <c r="H29" s="137"/>
      <c r="I29" s="138"/>
      <c r="J29" s="139"/>
    </row>
    <row r="30" spans="1:12" s="161" customFormat="1" ht="24.75" customHeight="1" thickBot="1">
      <c r="A30" s="108">
        <v>5</v>
      </c>
      <c r="B30" s="109"/>
      <c r="C30" s="539" t="s">
        <v>90</v>
      </c>
      <c r="D30" s="539"/>
      <c r="E30" s="539"/>
      <c r="F30" s="539"/>
      <c r="G30" s="539"/>
      <c r="H30" s="539"/>
      <c r="I30" s="539"/>
      <c r="J30" s="540"/>
      <c r="K30" s="160"/>
      <c r="L30" s="160"/>
    </row>
    <row r="31" spans="1:10" ht="15.75">
      <c r="A31" s="112"/>
      <c r="B31" s="203" t="s">
        <v>10</v>
      </c>
      <c r="C31" s="113" t="s">
        <v>367</v>
      </c>
      <c r="D31" s="114" t="s">
        <v>368</v>
      </c>
      <c r="E31" s="113" t="s">
        <v>7</v>
      </c>
      <c r="F31" s="115">
        <v>50</v>
      </c>
      <c r="G31" s="116">
        <v>18.49</v>
      </c>
      <c r="H31" s="117">
        <v>40.94</v>
      </c>
      <c r="I31" s="117">
        <v>59.43</v>
      </c>
      <c r="J31" s="42">
        <f t="shared" si="0"/>
        <v>2971.5</v>
      </c>
    </row>
    <row r="32" spans="1:10" ht="16.5" thickBot="1">
      <c r="A32" s="120"/>
      <c r="B32" s="48"/>
      <c r="C32" s="44"/>
      <c r="D32" s="162"/>
      <c r="E32" s="83"/>
      <c r="F32" s="122"/>
      <c r="G32" s="123"/>
      <c r="H32" s="124"/>
      <c r="I32" s="57"/>
      <c r="J32" s="60"/>
    </row>
    <row r="33" spans="1:10" ht="16.5" thickBot="1">
      <c r="A33" s="120"/>
      <c r="B33" s="48"/>
      <c r="C33" s="125"/>
      <c r="D33" s="126" t="s">
        <v>58</v>
      </c>
      <c r="E33" s="70"/>
      <c r="F33" s="127"/>
      <c r="G33" s="128"/>
      <c r="H33" s="129"/>
      <c r="I33" s="75">
        <f>SUM(G33:H33)</f>
        <v>0</v>
      </c>
      <c r="J33" s="78">
        <f>SUM(J31:J31)</f>
        <v>2971.5</v>
      </c>
    </row>
    <row r="34" spans="1:10" ht="16.5" thickBot="1">
      <c r="A34" s="132"/>
      <c r="B34" s="225"/>
      <c r="C34" s="50"/>
      <c r="D34" s="133"/>
      <c r="E34" s="134"/>
      <c r="F34" s="135"/>
      <c r="G34" s="136"/>
      <c r="H34" s="137"/>
      <c r="I34" s="138"/>
      <c r="J34" s="139">
        <f t="shared" si="0"/>
        <v>0</v>
      </c>
    </row>
    <row r="35" spans="1:10" ht="24.75" customHeight="1" thickBot="1">
      <c r="A35" s="108">
        <v>6</v>
      </c>
      <c r="B35" s="109"/>
      <c r="C35" s="539" t="s">
        <v>142</v>
      </c>
      <c r="D35" s="539"/>
      <c r="E35" s="539"/>
      <c r="F35" s="539"/>
      <c r="G35" s="539"/>
      <c r="H35" s="539"/>
      <c r="I35" s="539"/>
      <c r="J35" s="540"/>
    </row>
    <row r="36" spans="1:11" ht="31.5">
      <c r="A36" s="112"/>
      <c r="B36" s="203" t="s">
        <v>14</v>
      </c>
      <c r="C36" s="39" t="s">
        <v>345</v>
      </c>
      <c r="D36" s="163" t="s">
        <v>98</v>
      </c>
      <c r="E36" s="164" t="s">
        <v>28</v>
      </c>
      <c r="F36" s="165">
        <v>740</v>
      </c>
      <c r="G36" s="165">
        <f>8.32*1.77</f>
        <v>14.7264</v>
      </c>
      <c r="H36" s="166"/>
      <c r="I36" s="41">
        <f aca="true" t="shared" si="1" ref="I36:I42">SUM(G36:H36)</f>
        <v>14.7264</v>
      </c>
      <c r="J36" s="42">
        <f t="shared" si="0"/>
        <v>10897.536</v>
      </c>
      <c r="K36" s="130" t="s">
        <v>322</v>
      </c>
    </row>
    <row r="37" spans="1:11" ht="31.5">
      <c r="A37" s="120"/>
      <c r="B37" s="48" t="s">
        <v>31</v>
      </c>
      <c r="C37" s="44" t="s">
        <v>345</v>
      </c>
      <c r="D37" s="167" t="s">
        <v>97</v>
      </c>
      <c r="E37" s="168" t="s">
        <v>131</v>
      </c>
      <c r="F37" s="169">
        <v>152</v>
      </c>
      <c r="G37" s="169">
        <f>8.8*1.77</f>
        <v>15.576000000000002</v>
      </c>
      <c r="H37" s="170"/>
      <c r="I37" s="46">
        <f t="shared" si="1"/>
        <v>15.576000000000002</v>
      </c>
      <c r="J37" s="47">
        <f t="shared" si="0"/>
        <v>2367.552</v>
      </c>
      <c r="K37" s="130" t="s">
        <v>322</v>
      </c>
    </row>
    <row r="38" spans="1:10" ht="31.5">
      <c r="A38" s="120"/>
      <c r="B38" s="48" t="s">
        <v>15</v>
      </c>
      <c r="C38" s="44" t="s">
        <v>345</v>
      </c>
      <c r="D38" s="167" t="s">
        <v>96</v>
      </c>
      <c r="E38" s="168" t="s">
        <v>144</v>
      </c>
      <c r="F38" s="169">
        <v>128</v>
      </c>
      <c r="G38" s="169">
        <f>8.85*1.77</f>
        <v>15.6645</v>
      </c>
      <c r="H38" s="170"/>
      <c r="I38" s="46">
        <f t="shared" si="1"/>
        <v>15.6645</v>
      </c>
      <c r="J38" s="47">
        <f t="shared" si="0"/>
        <v>2005.056</v>
      </c>
    </row>
    <row r="39" spans="1:10" ht="31.5">
      <c r="A39" s="120"/>
      <c r="B39" s="48" t="s">
        <v>73</v>
      </c>
      <c r="C39" s="44" t="s">
        <v>345</v>
      </c>
      <c r="D39" s="167" t="s">
        <v>95</v>
      </c>
      <c r="E39" s="168" t="s">
        <v>144</v>
      </c>
      <c r="F39" s="169">
        <v>20</v>
      </c>
      <c r="G39" s="169">
        <f>8.85*1.77</f>
        <v>15.6645</v>
      </c>
      <c r="H39" s="170"/>
      <c r="I39" s="46">
        <f t="shared" si="1"/>
        <v>15.6645</v>
      </c>
      <c r="J39" s="47">
        <f t="shared" si="0"/>
        <v>313.29</v>
      </c>
    </row>
    <row r="40" spans="1:10" ht="31.5">
      <c r="A40" s="120"/>
      <c r="B40" s="48" t="s">
        <v>74</v>
      </c>
      <c r="C40" s="44" t="s">
        <v>345</v>
      </c>
      <c r="D40" s="167" t="s">
        <v>94</v>
      </c>
      <c r="E40" s="168" t="s">
        <v>144</v>
      </c>
      <c r="F40" s="169">
        <v>3</v>
      </c>
      <c r="G40" s="169">
        <f>22*1.77</f>
        <v>38.94</v>
      </c>
      <c r="H40" s="170"/>
      <c r="I40" s="46">
        <f t="shared" si="1"/>
        <v>38.94</v>
      </c>
      <c r="J40" s="47">
        <f t="shared" si="0"/>
        <v>116.82</v>
      </c>
    </row>
    <row r="41" spans="1:10" ht="31.5">
      <c r="A41" s="120"/>
      <c r="B41" s="48" t="s">
        <v>115</v>
      </c>
      <c r="C41" s="44" t="s">
        <v>345</v>
      </c>
      <c r="D41" s="167" t="s">
        <v>119</v>
      </c>
      <c r="E41" s="168" t="s">
        <v>144</v>
      </c>
      <c r="F41" s="169">
        <v>144</v>
      </c>
      <c r="G41" s="46">
        <f>7.84*1.77</f>
        <v>13.8768</v>
      </c>
      <c r="H41" s="170"/>
      <c r="I41" s="46">
        <f t="shared" si="1"/>
        <v>13.8768</v>
      </c>
      <c r="J41" s="47">
        <f t="shared" si="0"/>
        <v>1998.2592</v>
      </c>
    </row>
    <row r="42" spans="1:10" ht="31.5">
      <c r="A42" s="120"/>
      <c r="B42" s="48" t="s">
        <v>116</v>
      </c>
      <c r="C42" s="44" t="s">
        <v>345</v>
      </c>
      <c r="D42" s="167" t="s">
        <v>118</v>
      </c>
      <c r="E42" s="168" t="s">
        <v>144</v>
      </c>
      <c r="F42" s="169">
        <v>4</v>
      </c>
      <c r="G42" s="46">
        <f>23.75*1.77</f>
        <v>42.0375</v>
      </c>
      <c r="H42" s="170"/>
      <c r="I42" s="46">
        <f t="shared" si="1"/>
        <v>42.0375</v>
      </c>
      <c r="J42" s="47">
        <f t="shared" si="0"/>
        <v>168.15</v>
      </c>
    </row>
    <row r="43" spans="1:10" ht="31.5">
      <c r="A43" s="120"/>
      <c r="B43" s="48" t="s">
        <v>117</v>
      </c>
      <c r="C43" s="44" t="s">
        <v>345</v>
      </c>
      <c r="D43" s="167" t="s">
        <v>143</v>
      </c>
      <c r="E43" s="168" t="s">
        <v>144</v>
      </c>
      <c r="F43" s="169">
        <v>8</v>
      </c>
      <c r="G43" s="169">
        <f>801.54*1.77</f>
        <v>1418.7258</v>
      </c>
      <c r="H43" s="170"/>
      <c r="I43" s="46">
        <f>SUM(G43:H43)</f>
        <v>1418.7258</v>
      </c>
      <c r="J43" s="47">
        <f t="shared" si="0"/>
        <v>11349.8064</v>
      </c>
    </row>
    <row r="44" spans="1:10" ht="31.5">
      <c r="A44" s="120"/>
      <c r="B44" s="48" t="s">
        <v>129</v>
      </c>
      <c r="C44" s="44" t="s">
        <v>345</v>
      </c>
      <c r="D44" s="167" t="s">
        <v>148</v>
      </c>
      <c r="E44" s="168" t="s">
        <v>144</v>
      </c>
      <c r="F44" s="169">
        <v>1</v>
      </c>
      <c r="G44" s="169">
        <f>867.15*1.77</f>
        <v>1534.8555</v>
      </c>
      <c r="H44" s="170"/>
      <c r="I44" s="46">
        <f>SUM(G44:H44)</f>
        <v>1534.8555</v>
      </c>
      <c r="J44" s="47">
        <f t="shared" si="0"/>
        <v>1534.8555</v>
      </c>
    </row>
    <row r="45" spans="1:11" s="175" customFormat="1" ht="31.5">
      <c r="A45" s="171"/>
      <c r="B45" s="48" t="s">
        <v>130</v>
      </c>
      <c r="C45" s="44" t="s">
        <v>345</v>
      </c>
      <c r="D45" s="172" t="s">
        <v>145</v>
      </c>
      <c r="E45" s="168" t="s">
        <v>132</v>
      </c>
      <c r="F45" s="169">
        <v>360</v>
      </c>
      <c r="G45" s="173"/>
      <c r="H45" s="174">
        <f>5.85*1.77</f>
        <v>10.3545</v>
      </c>
      <c r="I45" s="46">
        <f>SUM(G45:H45)</f>
        <v>10.3545</v>
      </c>
      <c r="J45" s="47">
        <f t="shared" si="0"/>
        <v>3727.62</v>
      </c>
      <c r="K45" s="175" t="s">
        <v>322</v>
      </c>
    </row>
    <row r="46" spans="1:11" s="175" customFormat="1" ht="31.5">
      <c r="A46" s="171"/>
      <c r="B46" s="48" t="s">
        <v>147</v>
      </c>
      <c r="C46" s="44" t="s">
        <v>345</v>
      </c>
      <c r="D46" s="172" t="s">
        <v>146</v>
      </c>
      <c r="E46" s="168" t="s">
        <v>132</v>
      </c>
      <c r="F46" s="169">
        <v>360</v>
      </c>
      <c r="G46" s="173"/>
      <c r="H46" s="174">
        <f>2.98*1.77</f>
        <v>5.2746</v>
      </c>
      <c r="I46" s="46">
        <f>SUM(G46:H46)</f>
        <v>5.2746</v>
      </c>
      <c r="J46" s="47">
        <f t="shared" si="0"/>
        <v>1898.8560000000002</v>
      </c>
      <c r="K46" s="175" t="s">
        <v>322</v>
      </c>
    </row>
    <row r="47" spans="1:10" s="175" customFormat="1" ht="16.5" thickBot="1">
      <c r="A47" s="171"/>
      <c r="B47" s="48"/>
      <c r="C47" s="44"/>
      <c r="D47" s="190"/>
      <c r="E47" s="191"/>
      <c r="F47" s="192"/>
      <c r="G47" s="193"/>
      <c r="H47" s="194"/>
      <c r="I47" s="57"/>
      <c r="J47" s="60"/>
    </row>
    <row r="48" spans="1:10" s="175" customFormat="1" ht="16.5" thickBot="1">
      <c r="A48" s="171"/>
      <c r="B48" s="48"/>
      <c r="C48" s="125"/>
      <c r="D48" s="126" t="s">
        <v>60</v>
      </c>
      <c r="E48" s="70"/>
      <c r="F48" s="127"/>
      <c r="G48" s="128"/>
      <c r="H48" s="129"/>
      <c r="I48" s="75">
        <f>SUM(G48:H48)</f>
        <v>0</v>
      </c>
      <c r="J48" s="78">
        <f>SUM(J36:J47)</f>
        <v>36377.801100000004</v>
      </c>
    </row>
    <row r="49" spans="1:10" s="175" customFormat="1" ht="16.5" thickBot="1">
      <c r="A49" s="176"/>
      <c r="B49" s="225"/>
      <c r="C49" s="50"/>
      <c r="D49" s="195"/>
      <c r="E49" s="196"/>
      <c r="F49" s="197"/>
      <c r="G49" s="198"/>
      <c r="H49" s="199"/>
      <c r="I49" s="138"/>
      <c r="J49" s="139"/>
    </row>
    <row r="50" spans="1:10" ht="15.75">
      <c r="A50" s="537" t="s">
        <v>32</v>
      </c>
      <c r="B50" s="538"/>
      <c r="C50" s="538"/>
      <c r="D50" s="538"/>
      <c r="E50" s="177"/>
      <c r="F50" s="178"/>
      <c r="G50" s="179"/>
      <c r="H50" s="180"/>
      <c r="I50" s="181"/>
      <c r="J50" s="95">
        <f>J48+J33+J28+J22+J15+J8</f>
        <v>53807.7211</v>
      </c>
    </row>
    <row r="51" spans="1:10" ht="15.75">
      <c r="A51" s="537" t="s">
        <v>516</v>
      </c>
      <c r="B51" s="538"/>
      <c r="C51" s="538"/>
      <c r="D51" s="538"/>
      <c r="E51" s="177"/>
      <c r="F51" s="178"/>
      <c r="G51" s="179"/>
      <c r="H51" s="180"/>
      <c r="I51" s="181"/>
      <c r="J51" s="182">
        <f>J50*0.3</f>
        <v>16142.31633</v>
      </c>
    </row>
    <row r="52" spans="1:10" ht="16.5" thickBot="1">
      <c r="A52" s="537" t="s">
        <v>45</v>
      </c>
      <c r="B52" s="538"/>
      <c r="C52" s="538"/>
      <c r="D52" s="538"/>
      <c r="E52" s="183"/>
      <c r="F52" s="184"/>
      <c r="G52" s="185"/>
      <c r="H52" s="186"/>
      <c r="I52" s="187"/>
      <c r="J52" s="188">
        <f>SUM(J50:J51)</f>
        <v>69950.03743</v>
      </c>
    </row>
    <row r="53" spans="4:10" ht="15.75">
      <c r="D53" s="30"/>
      <c r="J53" s="189"/>
    </row>
    <row r="54" spans="4:10" ht="15.75">
      <c r="D54" s="30"/>
      <c r="J54" s="189"/>
    </row>
    <row r="55" spans="4:10" ht="15.75">
      <c r="D55" s="30"/>
      <c r="J55" s="189"/>
    </row>
  </sheetData>
  <sheetProtection/>
  <mergeCells count="10">
    <mergeCell ref="A2:J2"/>
    <mergeCell ref="A51:D51"/>
    <mergeCell ref="A52:D52"/>
    <mergeCell ref="C35:J35"/>
    <mergeCell ref="C4:J4"/>
    <mergeCell ref="C10:J10"/>
    <mergeCell ref="C17:J17"/>
    <mergeCell ref="C24:J24"/>
    <mergeCell ref="C30:J30"/>
    <mergeCell ref="A50:D50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horizontalDpi="600" verticalDpi="600" orientation="portrait" paperSize="9" scale="53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  <ignoredErrors>
    <ignoredError sqref="I44:I46 I50:I70 I38:I43 I36" formulaRange="1"/>
    <ignoredError sqref="J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9"/>
  <dimension ref="A1:J34"/>
  <sheetViews>
    <sheetView showZeros="0" view="pageBreakPreview" zoomScaleSheetLayoutView="100" workbookViewId="0" topLeftCell="A22">
      <selection activeCell="H45" sqref="H45"/>
    </sheetView>
  </sheetViews>
  <sheetFormatPr defaultColWidth="9.140625" defaultRowHeight="12.75"/>
  <cols>
    <col min="1" max="1" width="5.7109375" style="1" customWidth="1"/>
    <col min="2" max="2" width="8.7109375" style="1" customWidth="1"/>
    <col min="3" max="3" width="13.28125" style="1" customWidth="1"/>
    <col min="4" max="4" width="60.00390625" style="11" customWidth="1"/>
    <col min="5" max="5" width="6.28125" style="8" customWidth="1"/>
    <col min="6" max="6" width="10.7109375" style="10" customWidth="1"/>
    <col min="7" max="7" width="11.7109375" style="10" customWidth="1"/>
    <col min="8" max="8" width="8.00390625" style="10" customWidth="1"/>
    <col min="9" max="9" width="11.7109375" style="10" customWidth="1"/>
    <col min="10" max="10" width="15.7109375" style="10" customWidth="1"/>
    <col min="11" max="16384" width="9.140625" style="2" customWidth="1"/>
  </cols>
  <sheetData>
    <row r="1" spans="1:10" s="1" customFormat="1" ht="32.25" thickBot="1">
      <c r="A1" s="96" t="s">
        <v>0</v>
      </c>
      <c r="B1" s="97" t="s">
        <v>1</v>
      </c>
      <c r="C1" s="97" t="s">
        <v>321</v>
      </c>
      <c r="D1" s="98" t="s">
        <v>69</v>
      </c>
      <c r="E1" s="97" t="s">
        <v>2</v>
      </c>
      <c r="F1" s="293" t="s">
        <v>3</v>
      </c>
      <c r="G1" s="293" t="s">
        <v>22</v>
      </c>
      <c r="H1" s="293" t="s">
        <v>23</v>
      </c>
      <c r="I1" s="293" t="s">
        <v>71</v>
      </c>
      <c r="J1" s="294" t="s">
        <v>38</v>
      </c>
    </row>
    <row r="2" spans="1:10" s="1" customFormat="1" ht="27.75" customHeight="1" thickBot="1">
      <c r="A2" s="525" t="s">
        <v>500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ht="126.75" thickBot="1">
      <c r="A3" s="108">
        <v>1</v>
      </c>
      <c r="B3" s="109"/>
      <c r="C3" s="109"/>
      <c r="D3" s="200" t="s">
        <v>476</v>
      </c>
      <c r="E3" s="154"/>
      <c r="F3" s="201"/>
      <c r="G3" s="201"/>
      <c r="H3" s="201"/>
      <c r="I3" s="201">
        <f>SUM(G3:H3)</f>
        <v>0</v>
      </c>
      <c r="J3" s="202">
        <f aca="true" t="shared" si="0" ref="J3:J25">I3*F3</f>
        <v>0</v>
      </c>
    </row>
    <row r="4" spans="1:10" ht="15.75">
      <c r="A4" s="38"/>
      <c r="B4" s="203"/>
      <c r="C4" s="203"/>
      <c r="D4" s="40"/>
      <c r="E4" s="39"/>
      <c r="F4" s="41"/>
      <c r="G4" s="41"/>
      <c r="H4" s="41"/>
      <c r="I4" s="41">
        <f>SUM(G4:H4)</f>
        <v>0</v>
      </c>
      <c r="J4" s="42">
        <f t="shared" si="0"/>
        <v>0</v>
      </c>
    </row>
    <row r="5" spans="1:10" ht="31.5">
      <c r="A5" s="120"/>
      <c r="B5" s="48" t="s">
        <v>4</v>
      </c>
      <c r="C5" s="44" t="s">
        <v>345</v>
      </c>
      <c r="D5" s="204" t="s">
        <v>78</v>
      </c>
      <c r="E5" s="44" t="s">
        <v>12</v>
      </c>
      <c r="F5" s="169">
        <v>4</v>
      </c>
      <c r="G5" s="46">
        <f>772*1.77</f>
        <v>1366.44</v>
      </c>
      <c r="H5" s="46"/>
      <c r="I5" s="46">
        <f>H5+G5</f>
        <v>1366.44</v>
      </c>
      <c r="J5" s="47">
        <f t="shared" si="0"/>
        <v>5465.76</v>
      </c>
    </row>
    <row r="6" spans="1:10" ht="31.5">
      <c r="A6" s="120"/>
      <c r="B6" s="48" t="s">
        <v>30</v>
      </c>
      <c r="C6" s="44" t="s">
        <v>345</v>
      </c>
      <c r="D6" s="204" t="s">
        <v>79</v>
      </c>
      <c r="E6" s="44" t="s">
        <v>12</v>
      </c>
      <c r="F6" s="46">
        <v>8</v>
      </c>
      <c r="G6" s="46">
        <f>241.5*1.77</f>
        <v>427.455</v>
      </c>
      <c r="H6" s="46"/>
      <c r="I6" s="46">
        <f aca="true" t="shared" si="1" ref="I6:I25">H6+G6</f>
        <v>427.455</v>
      </c>
      <c r="J6" s="47">
        <f t="shared" si="0"/>
        <v>3419.64</v>
      </c>
    </row>
    <row r="7" spans="1:10" ht="31.5">
      <c r="A7" s="120"/>
      <c r="B7" s="48" t="s">
        <v>29</v>
      </c>
      <c r="C7" s="44" t="s">
        <v>345</v>
      </c>
      <c r="D7" s="204" t="s">
        <v>279</v>
      </c>
      <c r="E7" s="44" t="s">
        <v>12</v>
      </c>
      <c r="F7" s="46">
        <v>8</v>
      </c>
      <c r="G7" s="46">
        <f>1105*1.77</f>
        <v>1955.85</v>
      </c>
      <c r="H7" s="46"/>
      <c r="I7" s="46">
        <f t="shared" si="1"/>
        <v>1955.85</v>
      </c>
      <c r="J7" s="47">
        <f t="shared" si="0"/>
        <v>15646.8</v>
      </c>
    </row>
    <row r="8" spans="1:10" ht="31.5">
      <c r="A8" s="120"/>
      <c r="B8" s="48" t="s">
        <v>66</v>
      </c>
      <c r="C8" s="44" t="s">
        <v>345</v>
      </c>
      <c r="D8" s="45" t="s">
        <v>280</v>
      </c>
      <c r="E8" s="44" t="s">
        <v>12</v>
      </c>
      <c r="F8" s="46">
        <v>4</v>
      </c>
      <c r="G8" s="46">
        <f>341.6*1.77</f>
        <v>604.6320000000001</v>
      </c>
      <c r="H8" s="46"/>
      <c r="I8" s="46">
        <f t="shared" si="1"/>
        <v>604.6320000000001</v>
      </c>
      <c r="J8" s="47">
        <f t="shared" si="0"/>
        <v>2418.5280000000002</v>
      </c>
    </row>
    <row r="9" spans="1:10" ht="31.5">
      <c r="A9" s="120"/>
      <c r="B9" s="48" t="s">
        <v>91</v>
      </c>
      <c r="C9" s="44" t="s">
        <v>345</v>
      </c>
      <c r="D9" s="45" t="s">
        <v>281</v>
      </c>
      <c r="E9" s="44" t="s">
        <v>12</v>
      </c>
      <c r="F9" s="46">
        <v>4</v>
      </c>
      <c r="G9" s="46">
        <f>170.8*1.77</f>
        <v>302.31600000000003</v>
      </c>
      <c r="H9" s="46"/>
      <c r="I9" s="46">
        <f t="shared" si="1"/>
        <v>302.31600000000003</v>
      </c>
      <c r="J9" s="47">
        <f t="shared" si="0"/>
        <v>1209.2640000000001</v>
      </c>
    </row>
    <row r="10" spans="1:10" ht="31.5">
      <c r="A10" s="120"/>
      <c r="B10" s="48" t="s">
        <v>67</v>
      </c>
      <c r="C10" s="44" t="s">
        <v>345</v>
      </c>
      <c r="D10" s="204" t="s">
        <v>282</v>
      </c>
      <c r="E10" s="44" t="s">
        <v>12</v>
      </c>
      <c r="F10" s="169">
        <v>4</v>
      </c>
      <c r="G10" s="169">
        <f>122*1.77</f>
        <v>215.94</v>
      </c>
      <c r="H10" s="46"/>
      <c r="I10" s="46">
        <f t="shared" si="1"/>
        <v>215.94</v>
      </c>
      <c r="J10" s="47">
        <f t="shared" si="0"/>
        <v>863.76</v>
      </c>
    </row>
    <row r="11" spans="1:10" ht="31.5">
      <c r="A11" s="120"/>
      <c r="B11" s="48" t="s">
        <v>72</v>
      </c>
      <c r="C11" s="44" t="s">
        <v>345</v>
      </c>
      <c r="D11" s="204" t="s">
        <v>283</v>
      </c>
      <c r="E11" s="44" t="s">
        <v>12</v>
      </c>
      <c r="F11" s="169">
        <v>4</v>
      </c>
      <c r="G11" s="169">
        <f>244*1.77</f>
        <v>431.88</v>
      </c>
      <c r="H11" s="46"/>
      <c r="I11" s="46">
        <f t="shared" si="1"/>
        <v>431.88</v>
      </c>
      <c r="J11" s="47">
        <f t="shared" si="0"/>
        <v>1727.52</v>
      </c>
    </row>
    <row r="12" spans="1:10" ht="31.5">
      <c r="A12" s="120"/>
      <c r="B12" s="48" t="s">
        <v>75</v>
      </c>
      <c r="C12" s="44" t="s">
        <v>345</v>
      </c>
      <c r="D12" s="204" t="s">
        <v>80</v>
      </c>
      <c r="E12" s="168" t="s">
        <v>12</v>
      </c>
      <c r="F12" s="169">
        <v>20</v>
      </c>
      <c r="G12" s="169">
        <f>96.6*1.77</f>
        <v>170.982</v>
      </c>
      <c r="H12" s="46"/>
      <c r="I12" s="46">
        <f t="shared" si="1"/>
        <v>170.982</v>
      </c>
      <c r="J12" s="47">
        <f t="shared" si="0"/>
        <v>3419.64</v>
      </c>
    </row>
    <row r="13" spans="1:10" ht="31.5">
      <c r="A13" s="120"/>
      <c r="B13" s="48" t="s">
        <v>93</v>
      </c>
      <c r="C13" s="44" t="s">
        <v>345</v>
      </c>
      <c r="D13" s="204" t="s">
        <v>81</v>
      </c>
      <c r="E13" s="168" t="s">
        <v>12</v>
      </c>
      <c r="F13" s="169">
        <v>2</v>
      </c>
      <c r="G13" s="169">
        <f>97.6*1.77</f>
        <v>172.75199999999998</v>
      </c>
      <c r="H13" s="46"/>
      <c r="I13" s="46">
        <f t="shared" si="1"/>
        <v>172.75199999999998</v>
      </c>
      <c r="J13" s="47">
        <f t="shared" si="0"/>
        <v>345.50399999999996</v>
      </c>
    </row>
    <row r="14" spans="1:10" ht="31.5">
      <c r="A14" s="120"/>
      <c r="B14" s="48" t="s">
        <v>99</v>
      </c>
      <c r="C14" s="44" t="s">
        <v>345</v>
      </c>
      <c r="D14" s="204" t="s">
        <v>284</v>
      </c>
      <c r="E14" s="168" t="s">
        <v>12</v>
      </c>
      <c r="F14" s="169">
        <v>34</v>
      </c>
      <c r="G14" s="169">
        <f>341.6*1.77</f>
        <v>604.6320000000001</v>
      </c>
      <c r="H14" s="46"/>
      <c r="I14" s="46">
        <f t="shared" si="1"/>
        <v>604.6320000000001</v>
      </c>
      <c r="J14" s="47">
        <f t="shared" si="0"/>
        <v>20557.488</v>
      </c>
    </row>
    <row r="15" spans="1:10" ht="31.5">
      <c r="A15" s="120"/>
      <c r="B15" s="48" t="s">
        <v>100</v>
      </c>
      <c r="C15" s="44" t="s">
        <v>345</v>
      </c>
      <c r="D15" s="204" t="s">
        <v>285</v>
      </c>
      <c r="E15" s="168" t="s">
        <v>12</v>
      </c>
      <c r="F15" s="169">
        <v>4</v>
      </c>
      <c r="G15" s="169">
        <f>531.3*1.77</f>
        <v>940.401</v>
      </c>
      <c r="H15" s="46"/>
      <c r="I15" s="46">
        <f t="shared" si="1"/>
        <v>940.401</v>
      </c>
      <c r="J15" s="47">
        <f t="shared" si="0"/>
        <v>3761.604</v>
      </c>
    </row>
    <row r="16" spans="1:10" ht="31.5">
      <c r="A16" s="120"/>
      <c r="B16" s="48" t="s">
        <v>101</v>
      </c>
      <c r="C16" s="44" t="s">
        <v>345</v>
      </c>
      <c r="D16" s="204" t="s">
        <v>82</v>
      </c>
      <c r="E16" s="168" t="s">
        <v>12</v>
      </c>
      <c r="F16" s="169">
        <v>2</v>
      </c>
      <c r="G16" s="169">
        <f>386.4*1.77</f>
        <v>683.928</v>
      </c>
      <c r="H16" s="46"/>
      <c r="I16" s="46">
        <f t="shared" si="1"/>
        <v>683.928</v>
      </c>
      <c r="J16" s="47">
        <f t="shared" si="0"/>
        <v>1367.856</v>
      </c>
    </row>
    <row r="17" spans="1:10" ht="31.5">
      <c r="A17" s="120"/>
      <c r="B17" s="48" t="s">
        <v>102</v>
      </c>
      <c r="C17" s="44" t="s">
        <v>345</v>
      </c>
      <c r="D17" s="204" t="s">
        <v>286</v>
      </c>
      <c r="E17" s="168" t="s">
        <v>12</v>
      </c>
      <c r="F17" s="169">
        <v>8</v>
      </c>
      <c r="G17" s="169">
        <f>365*1.77</f>
        <v>646.05</v>
      </c>
      <c r="H17" s="46"/>
      <c r="I17" s="46">
        <f>H17+G17</f>
        <v>646.05</v>
      </c>
      <c r="J17" s="47">
        <f>I17*F17</f>
        <v>5168.4</v>
      </c>
    </row>
    <row r="18" spans="1:10" ht="31.5">
      <c r="A18" s="120"/>
      <c r="B18" s="48" t="s">
        <v>103</v>
      </c>
      <c r="C18" s="44" t="s">
        <v>345</v>
      </c>
      <c r="D18" s="204" t="s">
        <v>287</v>
      </c>
      <c r="E18" s="168" t="s">
        <v>12</v>
      </c>
      <c r="F18" s="169">
        <v>11</v>
      </c>
      <c r="G18" s="169">
        <f>232*1.77</f>
        <v>410.64</v>
      </c>
      <c r="H18" s="46"/>
      <c r="I18" s="46">
        <f t="shared" si="1"/>
        <v>410.64</v>
      </c>
      <c r="J18" s="47">
        <f t="shared" si="0"/>
        <v>4517.04</v>
      </c>
    </row>
    <row r="19" spans="1:10" ht="31.5">
      <c r="A19" s="120"/>
      <c r="B19" s="48" t="s">
        <v>123</v>
      </c>
      <c r="C19" s="44" t="s">
        <v>345</v>
      </c>
      <c r="D19" s="204" t="s">
        <v>83</v>
      </c>
      <c r="E19" s="168" t="s">
        <v>12</v>
      </c>
      <c r="F19" s="46">
        <v>2</v>
      </c>
      <c r="G19" s="169">
        <f>69.6*1.77</f>
        <v>123.192</v>
      </c>
      <c r="H19" s="46"/>
      <c r="I19" s="46">
        <f t="shared" si="1"/>
        <v>123.192</v>
      </c>
      <c r="J19" s="47">
        <f t="shared" si="0"/>
        <v>246.384</v>
      </c>
    </row>
    <row r="20" spans="1:10" ht="31.5">
      <c r="A20" s="120"/>
      <c r="B20" s="48" t="s">
        <v>124</v>
      </c>
      <c r="C20" s="44" t="s">
        <v>345</v>
      </c>
      <c r="D20" s="204" t="s">
        <v>120</v>
      </c>
      <c r="E20" s="168" t="s">
        <v>13</v>
      </c>
      <c r="F20" s="169">
        <v>70</v>
      </c>
      <c r="G20" s="169">
        <f>2.2*1.77</f>
        <v>3.8940000000000006</v>
      </c>
      <c r="H20" s="46"/>
      <c r="I20" s="46">
        <f t="shared" si="1"/>
        <v>3.8940000000000006</v>
      </c>
      <c r="J20" s="47">
        <f t="shared" si="0"/>
        <v>272.58000000000004</v>
      </c>
    </row>
    <row r="21" spans="1:10" ht="31.5">
      <c r="A21" s="120"/>
      <c r="B21" s="48" t="s">
        <v>125</v>
      </c>
      <c r="C21" s="44" t="s">
        <v>345</v>
      </c>
      <c r="D21" s="204" t="s">
        <v>293</v>
      </c>
      <c r="E21" s="168" t="s">
        <v>211</v>
      </c>
      <c r="F21" s="169">
        <v>3</v>
      </c>
      <c r="G21" s="169">
        <f>58*1.77</f>
        <v>102.66</v>
      </c>
      <c r="H21" s="46"/>
      <c r="I21" s="46">
        <f t="shared" si="1"/>
        <v>102.66</v>
      </c>
      <c r="J21" s="47">
        <f t="shared" si="0"/>
        <v>307.98</v>
      </c>
    </row>
    <row r="22" spans="1:10" ht="31.5">
      <c r="A22" s="120"/>
      <c r="B22" s="48" t="s">
        <v>126</v>
      </c>
      <c r="C22" s="44" t="s">
        <v>345</v>
      </c>
      <c r="D22" s="204" t="s">
        <v>121</v>
      </c>
      <c r="E22" s="168" t="s">
        <v>13</v>
      </c>
      <c r="F22" s="169">
        <v>70</v>
      </c>
      <c r="G22" s="169">
        <f>3.8*1.77</f>
        <v>6.726</v>
      </c>
      <c r="H22" s="46"/>
      <c r="I22" s="46">
        <f t="shared" si="1"/>
        <v>6.726</v>
      </c>
      <c r="J22" s="47">
        <f t="shared" si="0"/>
        <v>470.82</v>
      </c>
    </row>
    <row r="23" spans="1:10" ht="31.5">
      <c r="A23" s="120"/>
      <c r="B23" s="48" t="s">
        <v>127</v>
      </c>
      <c r="C23" s="44" t="s">
        <v>345</v>
      </c>
      <c r="D23" s="204" t="s">
        <v>151</v>
      </c>
      <c r="E23" s="168" t="s">
        <v>132</v>
      </c>
      <c r="F23" s="169">
        <v>500</v>
      </c>
      <c r="G23" s="169"/>
      <c r="H23" s="46">
        <v>18.55</v>
      </c>
      <c r="I23" s="46">
        <f t="shared" si="1"/>
        <v>18.55</v>
      </c>
      <c r="J23" s="47">
        <f t="shared" si="0"/>
        <v>9275</v>
      </c>
    </row>
    <row r="24" spans="1:10" ht="31.5">
      <c r="A24" s="120"/>
      <c r="B24" s="48" t="s">
        <v>149</v>
      </c>
      <c r="C24" s="44" t="s">
        <v>345</v>
      </c>
      <c r="D24" s="204" t="s">
        <v>152</v>
      </c>
      <c r="E24" s="168" t="s">
        <v>132</v>
      </c>
      <c r="F24" s="169">
        <v>500</v>
      </c>
      <c r="G24" s="169"/>
      <c r="H24" s="46">
        <v>4.55</v>
      </c>
      <c r="I24" s="46">
        <f t="shared" si="1"/>
        <v>4.55</v>
      </c>
      <c r="J24" s="47">
        <f t="shared" si="0"/>
        <v>2275</v>
      </c>
    </row>
    <row r="25" spans="1:10" ht="31.5">
      <c r="A25" s="120"/>
      <c r="B25" s="48" t="s">
        <v>150</v>
      </c>
      <c r="C25" s="44" t="s">
        <v>345</v>
      </c>
      <c r="D25" s="204" t="s">
        <v>122</v>
      </c>
      <c r="E25" s="168" t="s">
        <v>134</v>
      </c>
      <c r="F25" s="169">
        <v>37</v>
      </c>
      <c r="G25" s="169">
        <f>225*1.77</f>
        <v>398.25</v>
      </c>
      <c r="H25" s="46"/>
      <c r="I25" s="46">
        <f t="shared" si="1"/>
        <v>398.25</v>
      </c>
      <c r="J25" s="47">
        <f t="shared" si="0"/>
        <v>14735.25</v>
      </c>
    </row>
    <row r="26" spans="1:10" ht="16.5" thickBot="1">
      <c r="A26" s="120"/>
      <c r="B26" s="44"/>
      <c r="C26" s="44"/>
      <c r="D26" s="257"/>
      <c r="E26" s="191"/>
      <c r="F26" s="192"/>
      <c r="G26" s="192"/>
      <c r="H26" s="57"/>
      <c r="I26" s="57"/>
      <c r="J26" s="60"/>
    </row>
    <row r="27" spans="1:10" ht="16.5" thickBot="1">
      <c r="A27" s="43"/>
      <c r="B27" s="48"/>
      <c r="C27" s="304"/>
      <c r="D27" s="306" t="s">
        <v>57</v>
      </c>
      <c r="E27" s="70"/>
      <c r="F27" s="307"/>
      <c r="G27" s="307"/>
      <c r="H27" s="75"/>
      <c r="I27" s="75">
        <f>SUM(G27:H27)</f>
        <v>0</v>
      </c>
      <c r="J27" s="78">
        <f>SUM(J3:J26)</f>
        <v>97471.818</v>
      </c>
    </row>
    <row r="28" spans="1:10" ht="16.5" thickBot="1">
      <c r="A28" s="49"/>
      <c r="B28" s="225"/>
      <c r="C28" s="225"/>
      <c r="D28" s="305"/>
      <c r="E28" s="196"/>
      <c r="F28" s="197"/>
      <c r="G28" s="197"/>
      <c r="H28" s="138"/>
      <c r="I28" s="138"/>
      <c r="J28" s="139"/>
    </row>
    <row r="29" spans="1:10" ht="15.75">
      <c r="A29" s="545" t="s">
        <v>32</v>
      </c>
      <c r="B29" s="546"/>
      <c r="C29" s="546"/>
      <c r="D29" s="546"/>
      <c r="E29" s="207"/>
      <c r="F29" s="208"/>
      <c r="G29" s="208"/>
      <c r="H29" s="208"/>
      <c r="I29" s="208"/>
      <c r="J29" s="209">
        <f>J27*1</f>
        <v>97471.818</v>
      </c>
    </row>
    <row r="30" spans="1:10" ht="15.75" customHeight="1">
      <c r="A30" s="547" t="s">
        <v>520</v>
      </c>
      <c r="B30" s="548"/>
      <c r="C30" s="548"/>
      <c r="D30" s="548"/>
      <c r="E30" s="177"/>
      <c r="F30" s="210"/>
      <c r="G30" s="210"/>
      <c r="H30" s="210"/>
      <c r="I30" s="210"/>
      <c r="J30" s="95">
        <f>J29*0.3</f>
        <v>29241.5454</v>
      </c>
    </row>
    <row r="31" spans="1:10" ht="18" customHeight="1" thickBot="1">
      <c r="A31" s="549" t="s">
        <v>45</v>
      </c>
      <c r="B31" s="550"/>
      <c r="C31" s="550"/>
      <c r="D31" s="550"/>
      <c r="E31" s="183"/>
      <c r="F31" s="211"/>
      <c r="G31" s="211"/>
      <c r="H31" s="211"/>
      <c r="I31" s="211"/>
      <c r="J31" s="188">
        <f>SUM(J29:J30)</f>
        <v>126713.3634</v>
      </c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/>
  <mergeCells count="4">
    <mergeCell ref="A29:D29"/>
    <mergeCell ref="A30:D30"/>
    <mergeCell ref="A31:D31"/>
    <mergeCell ref="A2:J2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horizontalDpi="600" verticalDpi="600" orientation="portrait" paperSize="9" scale="59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J133"/>
  <sheetViews>
    <sheetView showZeros="0" view="pageBreakPreview" zoomScale="85" zoomScaleSheetLayoutView="85" workbookViewId="0" topLeftCell="A100">
      <selection activeCell="H45" sqref="H45"/>
    </sheetView>
  </sheetViews>
  <sheetFormatPr defaultColWidth="9.140625" defaultRowHeight="12.75"/>
  <cols>
    <col min="1" max="1" width="5.7109375" style="1" customWidth="1"/>
    <col min="2" max="2" width="8.7109375" style="8" customWidth="1"/>
    <col min="3" max="3" width="13.7109375" style="8" customWidth="1"/>
    <col min="4" max="4" width="63.7109375" style="11" customWidth="1"/>
    <col min="5" max="5" width="6.7109375" style="8" customWidth="1"/>
    <col min="6" max="6" width="10.7109375" style="10" customWidth="1"/>
    <col min="7" max="7" width="13.7109375" style="10" bestFit="1" customWidth="1"/>
    <col min="8" max="8" width="11.7109375" style="10" customWidth="1"/>
    <col min="9" max="9" width="14.8515625" style="10" customWidth="1"/>
    <col min="10" max="10" width="19.421875" style="10" customWidth="1"/>
    <col min="11" max="16384" width="9.140625" style="2" customWidth="1"/>
  </cols>
  <sheetData>
    <row r="1" spans="1:10" s="1" customFormat="1" ht="32.25" thickBot="1">
      <c r="A1" s="96" t="s">
        <v>0</v>
      </c>
      <c r="B1" s="97" t="s">
        <v>1</v>
      </c>
      <c r="C1" s="97" t="s">
        <v>321</v>
      </c>
      <c r="D1" s="98" t="s">
        <v>69</v>
      </c>
      <c r="E1" s="97" t="s">
        <v>2</v>
      </c>
      <c r="F1" s="293" t="s">
        <v>3</v>
      </c>
      <c r="G1" s="293" t="s">
        <v>22</v>
      </c>
      <c r="H1" s="293" t="s">
        <v>23</v>
      </c>
      <c r="I1" s="293" t="s">
        <v>71</v>
      </c>
      <c r="J1" s="294" t="s">
        <v>38</v>
      </c>
    </row>
    <row r="2" spans="1:10" s="1" customFormat="1" ht="27.75" customHeight="1" thickBot="1">
      <c r="A2" s="525" t="s">
        <v>501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s="89" customFormat="1" ht="24.75" customHeight="1" thickBot="1">
      <c r="A3" s="108">
        <v>1</v>
      </c>
      <c r="B3" s="154"/>
      <c r="C3" s="543" t="s">
        <v>288</v>
      </c>
      <c r="D3" s="543"/>
      <c r="E3" s="543"/>
      <c r="F3" s="543"/>
      <c r="G3" s="543"/>
      <c r="H3" s="543"/>
      <c r="I3" s="543"/>
      <c r="J3" s="544"/>
    </row>
    <row r="4" spans="1:10" ht="78.75">
      <c r="A4" s="38"/>
      <c r="B4" s="203" t="s">
        <v>4</v>
      </c>
      <c r="C4" s="39"/>
      <c r="D4" s="82" t="s">
        <v>477</v>
      </c>
      <c r="E4" s="39"/>
      <c r="F4" s="41"/>
      <c r="G4" s="41"/>
      <c r="H4" s="41"/>
      <c r="I4" s="41">
        <f>H4+G4</f>
        <v>0</v>
      </c>
      <c r="J4" s="42">
        <f>I4*F4</f>
        <v>0</v>
      </c>
    </row>
    <row r="5" spans="1:10" ht="31.5">
      <c r="A5" s="43"/>
      <c r="B5" s="48" t="s">
        <v>153</v>
      </c>
      <c r="C5" s="212" t="s">
        <v>369</v>
      </c>
      <c r="D5" s="213" t="s">
        <v>370</v>
      </c>
      <c r="E5" s="212" t="s">
        <v>7</v>
      </c>
      <c r="F5" s="46">
        <v>100</v>
      </c>
      <c r="G5" s="214">
        <v>32.22</v>
      </c>
      <c r="H5" s="215">
        <v>27.65</v>
      </c>
      <c r="I5" s="215">
        <v>59.87</v>
      </c>
      <c r="J5" s="47">
        <f>I5*F5</f>
        <v>5987</v>
      </c>
    </row>
    <row r="6" spans="1:10" ht="31.5">
      <c r="A6" s="43"/>
      <c r="B6" s="48" t="s">
        <v>154</v>
      </c>
      <c r="C6" s="212" t="s">
        <v>371</v>
      </c>
      <c r="D6" s="213" t="s">
        <v>372</v>
      </c>
      <c r="E6" s="212" t="s">
        <v>7</v>
      </c>
      <c r="F6" s="46">
        <v>12</v>
      </c>
      <c r="G6" s="214">
        <v>24.84</v>
      </c>
      <c r="H6" s="215">
        <v>25.76</v>
      </c>
      <c r="I6" s="215">
        <v>50.6</v>
      </c>
      <c r="J6" s="47">
        <f>I6*F6</f>
        <v>607.2</v>
      </c>
    </row>
    <row r="7" spans="1:10" ht="31.5">
      <c r="A7" s="43"/>
      <c r="B7" s="48" t="s">
        <v>155</v>
      </c>
      <c r="C7" s="212" t="s">
        <v>373</v>
      </c>
      <c r="D7" s="213" t="s">
        <v>374</v>
      </c>
      <c r="E7" s="212" t="s">
        <v>7</v>
      </c>
      <c r="F7" s="46">
        <v>34</v>
      </c>
      <c r="G7" s="214">
        <v>20.59</v>
      </c>
      <c r="H7" s="215">
        <v>23.73</v>
      </c>
      <c r="I7" s="215">
        <v>44.32</v>
      </c>
      <c r="J7" s="47">
        <f>I7*F7</f>
        <v>1506.88</v>
      </c>
    </row>
    <row r="8" spans="1:10" ht="47.25">
      <c r="A8" s="43"/>
      <c r="B8" s="48" t="s">
        <v>289</v>
      </c>
      <c r="C8" s="212" t="s">
        <v>375</v>
      </c>
      <c r="D8" s="213" t="s">
        <v>376</v>
      </c>
      <c r="E8" s="212" t="s">
        <v>7</v>
      </c>
      <c r="F8" s="46">
        <v>28</v>
      </c>
      <c r="G8" s="214">
        <v>139.67</v>
      </c>
      <c r="H8" s="215">
        <v>0</v>
      </c>
      <c r="I8" s="215">
        <v>139.67</v>
      </c>
      <c r="J8" s="47">
        <f>I8*F8</f>
        <v>3910.7599999999998</v>
      </c>
    </row>
    <row r="9" spans="1:10" ht="16.5" thickBot="1">
      <c r="A9" s="43"/>
      <c r="B9" s="44"/>
      <c r="C9" s="44"/>
      <c r="D9" s="84"/>
      <c r="E9" s="83"/>
      <c r="F9" s="57"/>
      <c r="G9" s="57"/>
      <c r="H9" s="57"/>
      <c r="I9" s="57">
        <f>H9+G9</f>
        <v>0</v>
      </c>
      <c r="J9" s="60"/>
    </row>
    <row r="10" spans="1:10" ht="16.5" thickBot="1">
      <c r="A10" s="43"/>
      <c r="B10" s="44"/>
      <c r="C10" s="125"/>
      <c r="D10" s="235" t="s">
        <v>57</v>
      </c>
      <c r="E10" s="70"/>
      <c r="F10" s="75"/>
      <c r="G10" s="128"/>
      <c r="H10" s="88"/>
      <c r="I10" s="71">
        <f>H10+G10</f>
        <v>0</v>
      </c>
      <c r="J10" s="78">
        <f>SUM(J3:J9)</f>
        <v>12011.84</v>
      </c>
    </row>
    <row r="11" spans="1:10" ht="13.5" thickBot="1">
      <c r="A11" s="80"/>
      <c r="B11" s="81"/>
      <c r="C11" s="81"/>
      <c r="D11" s="232"/>
      <c r="E11" s="90"/>
      <c r="F11" s="92"/>
      <c r="G11" s="91"/>
      <c r="H11" s="233"/>
      <c r="I11" s="92">
        <f>H11+G11</f>
        <v>0</v>
      </c>
      <c r="J11" s="234"/>
    </row>
    <row r="12" spans="1:10" ht="24.75" customHeight="1" thickBot="1">
      <c r="A12" s="216">
        <v>2</v>
      </c>
      <c r="B12" s="217"/>
      <c r="C12" s="551" t="s">
        <v>86</v>
      </c>
      <c r="D12" s="551"/>
      <c r="E12" s="551"/>
      <c r="F12" s="551"/>
      <c r="G12" s="551"/>
      <c r="H12" s="551"/>
      <c r="I12" s="551"/>
      <c r="J12" s="552"/>
    </row>
    <row r="13" spans="1:10" ht="15.75">
      <c r="A13" s="38"/>
      <c r="B13" s="203" t="s">
        <v>25</v>
      </c>
      <c r="C13" s="228" t="s">
        <v>377</v>
      </c>
      <c r="D13" s="236" t="s">
        <v>378</v>
      </c>
      <c r="E13" s="228" t="s">
        <v>7</v>
      </c>
      <c r="F13" s="41">
        <v>292</v>
      </c>
      <c r="G13" s="229">
        <v>1.3</v>
      </c>
      <c r="H13" s="230">
        <v>3.42</v>
      </c>
      <c r="I13" s="230">
        <v>4.72</v>
      </c>
      <c r="J13" s="42">
        <f aca="true" t="shared" si="0" ref="J13:J19">I13*F13</f>
        <v>1378.24</v>
      </c>
    </row>
    <row r="14" spans="1:10" ht="15.75">
      <c r="A14" s="43"/>
      <c r="B14" s="48" t="s">
        <v>26</v>
      </c>
      <c r="C14" s="212" t="s">
        <v>379</v>
      </c>
      <c r="D14" s="213" t="s">
        <v>380</v>
      </c>
      <c r="E14" s="212" t="s">
        <v>7</v>
      </c>
      <c r="F14" s="46">
        <v>146</v>
      </c>
      <c r="G14" s="46">
        <v>4.15</v>
      </c>
      <c r="H14" s="46">
        <v>4.79</v>
      </c>
      <c r="I14" s="46">
        <f>H14+G14</f>
        <v>8.940000000000001</v>
      </c>
      <c r="J14" s="47">
        <f t="shared" si="0"/>
        <v>1305.2400000000002</v>
      </c>
    </row>
    <row r="15" spans="1:10" ht="15.75">
      <c r="A15" s="43"/>
      <c r="B15" s="48" t="s">
        <v>27</v>
      </c>
      <c r="C15" s="212" t="s">
        <v>381</v>
      </c>
      <c r="D15" s="213" t="s">
        <v>382</v>
      </c>
      <c r="E15" s="212" t="s">
        <v>7</v>
      </c>
      <c r="F15" s="46">
        <v>80</v>
      </c>
      <c r="G15" s="214">
        <v>0.99</v>
      </c>
      <c r="H15" s="215">
        <v>8.1</v>
      </c>
      <c r="I15" s="215">
        <v>9.09</v>
      </c>
      <c r="J15" s="47">
        <f t="shared" si="0"/>
        <v>727.2</v>
      </c>
    </row>
    <row r="16" spans="1:10" ht="63">
      <c r="A16" s="43"/>
      <c r="B16" s="48" t="s">
        <v>77</v>
      </c>
      <c r="C16" s="212" t="s">
        <v>383</v>
      </c>
      <c r="D16" s="213" t="s">
        <v>384</v>
      </c>
      <c r="E16" s="212" t="s">
        <v>7</v>
      </c>
      <c r="F16" s="46">
        <v>30</v>
      </c>
      <c r="G16" s="214">
        <v>43.8</v>
      </c>
      <c r="H16" s="215">
        <v>9.32</v>
      </c>
      <c r="I16" s="215">
        <v>53.12</v>
      </c>
      <c r="J16" s="47">
        <f t="shared" si="0"/>
        <v>1593.6</v>
      </c>
    </row>
    <row r="17" spans="1:10" ht="47.25">
      <c r="A17" s="43"/>
      <c r="B17" s="48" t="s">
        <v>156</v>
      </c>
      <c r="C17" s="212" t="s">
        <v>385</v>
      </c>
      <c r="D17" s="222" t="s">
        <v>478</v>
      </c>
      <c r="E17" s="44" t="s">
        <v>7</v>
      </c>
      <c r="F17" s="46">
        <v>112</v>
      </c>
      <c r="G17" s="214">
        <v>146.35</v>
      </c>
      <c r="H17" s="215">
        <v>23.44</v>
      </c>
      <c r="I17" s="215">
        <v>169.79</v>
      </c>
      <c r="J17" s="47">
        <f t="shared" si="0"/>
        <v>19016.48</v>
      </c>
    </row>
    <row r="18" spans="1:10" ht="47.25">
      <c r="A18" s="43"/>
      <c r="B18" s="48" t="s">
        <v>157</v>
      </c>
      <c r="C18" s="212" t="s">
        <v>385</v>
      </c>
      <c r="D18" s="222" t="s">
        <v>479</v>
      </c>
      <c r="E18" s="44" t="s">
        <v>7</v>
      </c>
      <c r="F18" s="46">
        <v>34</v>
      </c>
      <c r="G18" s="214">
        <v>146.35</v>
      </c>
      <c r="H18" s="215">
        <v>23.44</v>
      </c>
      <c r="I18" s="215">
        <v>169.79</v>
      </c>
      <c r="J18" s="47">
        <f t="shared" si="0"/>
        <v>5772.86</v>
      </c>
    </row>
    <row r="19" spans="1:10" ht="47.25">
      <c r="A19" s="43"/>
      <c r="B19" s="48" t="s">
        <v>158</v>
      </c>
      <c r="C19" s="212" t="s">
        <v>365</v>
      </c>
      <c r="D19" s="213" t="s">
        <v>366</v>
      </c>
      <c r="E19" s="212" t="s">
        <v>7</v>
      </c>
      <c r="F19" s="46">
        <v>34</v>
      </c>
      <c r="G19" s="214">
        <v>41.17</v>
      </c>
      <c r="H19" s="215">
        <v>16.21</v>
      </c>
      <c r="I19" s="215">
        <v>57.38</v>
      </c>
      <c r="J19" s="47">
        <f t="shared" si="0"/>
        <v>1950.92</v>
      </c>
    </row>
    <row r="20" spans="1:10" ht="16.5" thickBot="1">
      <c r="A20" s="43"/>
      <c r="B20" s="44"/>
      <c r="C20" s="44"/>
      <c r="D20" s="237"/>
      <c r="E20" s="83"/>
      <c r="F20" s="57"/>
      <c r="G20" s="123"/>
      <c r="H20" s="238"/>
      <c r="I20" s="57">
        <f>H20+G20</f>
        <v>0</v>
      </c>
      <c r="J20" s="60"/>
    </row>
    <row r="21" spans="1:10" ht="16.5" thickBot="1">
      <c r="A21" s="43"/>
      <c r="B21" s="44"/>
      <c r="C21" s="125"/>
      <c r="D21" s="235" t="s">
        <v>56</v>
      </c>
      <c r="E21" s="70"/>
      <c r="F21" s="75"/>
      <c r="G21" s="128"/>
      <c r="H21" s="88"/>
      <c r="I21" s="71">
        <f>H21+G21</f>
        <v>0</v>
      </c>
      <c r="J21" s="78">
        <f>SUM(J13:J19)</f>
        <v>31744.54</v>
      </c>
    </row>
    <row r="22" spans="1:10" ht="13.5" thickBot="1">
      <c r="A22" s="80"/>
      <c r="B22" s="81"/>
      <c r="C22" s="81"/>
      <c r="D22" s="239"/>
      <c r="E22" s="90"/>
      <c r="F22" s="92"/>
      <c r="G22" s="91"/>
      <c r="H22" s="233"/>
      <c r="I22" s="92">
        <f>H22+G22</f>
        <v>0</v>
      </c>
      <c r="J22" s="93"/>
    </row>
    <row r="23" spans="1:10" ht="24.75" customHeight="1" thickBot="1">
      <c r="A23" s="108">
        <v>3</v>
      </c>
      <c r="B23" s="154"/>
      <c r="C23" s="543" t="s">
        <v>159</v>
      </c>
      <c r="D23" s="543"/>
      <c r="E23" s="543"/>
      <c r="F23" s="543"/>
      <c r="G23" s="543"/>
      <c r="H23" s="543"/>
      <c r="I23" s="543"/>
      <c r="J23" s="544"/>
    </row>
    <row r="24" spans="1:10" ht="110.25">
      <c r="A24" s="38"/>
      <c r="B24" s="203" t="s">
        <v>8</v>
      </c>
      <c r="C24" s="228" t="s">
        <v>386</v>
      </c>
      <c r="D24" s="40" t="s">
        <v>480</v>
      </c>
      <c r="E24" s="39" t="s">
        <v>9</v>
      </c>
      <c r="F24" s="41">
        <v>1.5</v>
      </c>
      <c r="G24" s="229">
        <v>260.18</v>
      </c>
      <c r="H24" s="230">
        <v>231.03</v>
      </c>
      <c r="I24" s="230">
        <v>491.21</v>
      </c>
      <c r="J24" s="42">
        <f aca="true" t="shared" si="1" ref="J24:J31">I24*F24</f>
        <v>736.8149999999999</v>
      </c>
    </row>
    <row r="25" spans="1:10" ht="15.75">
      <c r="A25" s="43"/>
      <c r="B25" s="48" t="s">
        <v>46</v>
      </c>
      <c r="C25" s="44"/>
      <c r="D25" s="231" t="s">
        <v>290</v>
      </c>
      <c r="E25" s="44"/>
      <c r="F25" s="46"/>
      <c r="G25" s="46"/>
      <c r="H25" s="46"/>
      <c r="I25" s="46"/>
      <c r="J25" s="47"/>
    </row>
    <row r="26" spans="1:10" ht="47.25">
      <c r="A26" s="43"/>
      <c r="B26" s="48" t="s">
        <v>291</v>
      </c>
      <c r="C26" s="212" t="s">
        <v>387</v>
      </c>
      <c r="D26" s="213" t="s">
        <v>388</v>
      </c>
      <c r="E26" s="212" t="s">
        <v>7</v>
      </c>
      <c r="F26" s="46">
        <v>25</v>
      </c>
      <c r="G26" s="214">
        <v>106.59</v>
      </c>
      <c r="H26" s="215">
        <v>15.71</v>
      </c>
      <c r="I26" s="215">
        <v>122.3</v>
      </c>
      <c r="J26" s="47">
        <f>I26*F26</f>
        <v>3057.5</v>
      </c>
    </row>
    <row r="27" spans="1:10" ht="15.75">
      <c r="A27" s="43"/>
      <c r="B27" s="48" t="s">
        <v>292</v>
      </c>
      <c r="C27" s="44"/>
      <c r="D27" s="231" t="s">
        <v>481</v>
      </c>
      <c r="E27" s="44" t="s">
        <v>211</v>
      </c>
      <c r="F27" s="46">
        <v>16</v>
      </c>
      <c r="G27" s="46">
        <v>11.6</v>
      </c>
      <c r="H27" s="46"/>
      <c r="I27" s="46">
        <f>H27+G27</f>
        <v>11.6</v>
      </c>
      <c r="J27" s="47">
        <f t="shared" si="1"/>
        <v>185.6</v>
      </c>
    </row>
    <row r="28" spans="1:10" ht="31.5">
      <c r="A28" s="43"/>
      <c r="B28" s="48" t="s">
        <v>53</v>
      </c>
      <c r="C28" s="212" t="s">
        <v>385</v>
      </c>
      <c r="D28" s="222" t="s">
        <v>482</v>
      </c>
      <c r="E28" s="44" t="s">
        <v>7</v>
      </c>
      <c r="F28" s="224">
        <v>25</v>
      </c>
      <c r="G28" s="214">
        <v>146.35</v>
      </c>
      <c r="H28" s="215">
        <v>23.44</v>
      </c>
      <c r="I28" s="215">
        <v>169.79</v>
      </c>
      <c r="J28" s="47">
        <f t="shared" si="1"/>
        <v>4244.75</v>
      </c>
    </row>
    <row r="29" spans="1:10" ht="31.5">
      <c r="A29" s="43"/>
      <c r="B29" s="48" t="s">
        <v>54</v>
      </c>
      <c r="C29" s="212" t="s">
        <v>389</v>
      </c>
      <c r="D29" s="222" t="s">
        <v>483</v>
      </c>
      <c r="E29" s="44" t="s">
        <v>13</v>
      </c>
      <c r="F29" s="224">
        <v>20</v>
      </c>
      <c r="G29" s="214">
        <v>3.87</v>
      </c>
      <c r="H29" s="215">
        <v>29.47</v>
      </c>
      <c r="I29" s="215">
        <v>33.34</v>
      </c>
      <c r="J29" s="47">
        <f t="shared" si="1"/>
        <v>666.8000000000001</v>
      </c>
    </row>
    <row r="30" spans="1:10" ht="31.5">
      <c r="A30" s="43"/>
      <c r="B30" s="48" t="s">
        <v>55</v>
      </c>
      <c r="C30" s="212" t="s">
        <v>390</v>
      </c>
      <c r="D30" s="222" t="s">
        <v>484</v>
      </c>
      <c r="E30" s="44" t="s">
        <v>13</v>
      </c>
      <c r="F30" s="224">
        <v>10</v>
      </c>
      <c r="G30" s="214">
        <v>53.9</v>
      </c>
      <c r="H30" s="215">
        <v>2.93</v>
      </c>
      <c r="I30" s="215">
        <v>56.83</v>
      </c>
      <c r="J30" s="47">
        <f t="shared" si="1"/>
        <v>568.3</v>
      </c>
    </row>
    <row r="31" spans="1:10" ht="15.75">
      <c r="A31" s="43"/>
      <c r="B31" s="48" t="s">
        <v>113</v>
      </c>
      <c r="C31" s="212" t="s">
        <v>390</v>
      </c>
      <c r="D31" s="222" t="s">
        <v>485</v>
      </c>
      <c r="E31" s="44" t="s">
        <v>131</v>
      </c>
      <c r="F31" s="224">
        <v>1</v>
      </c>
      <c r="G31" s="214">
        <v>53.9</v>
      </c>
      <c r="H31" s="215">
        <v>2.93</v>
      </c>
      <c r="I31" s="215">
        <v>56.83</v>
      </c>
      <c r="J31" s="47">
        <f t="shared" si="1"/>
        <v>56.83</v>
      </c>
    </row>
    <row r="32" spans="1:10" ht="16.5" thickBot="1">
      <c r="A32" s="43"/>
      <c r="B32" s="44"/>
      <c r="C32" s="44"/>
      <c r="D32" s="240"/>
      <c r="E32" s="83"/>
      <c r="F32" s="238"/>
      <c r="G32" s="57"/>
      <c r="H32" s="57"/>
      <c r="I32" s="57">
        <f>H32+G32</f>
        <v>0</v>
      </c>
      <c r="J32" s="60"/>
    </row>
    <row r="33" spans="1:10" ht="16.5" thickBot="1">
      <c r="A33" s="43"/>
      <c r="B33" s="44"/>
      <c r="C33" s="125"/>
      <c r="D33" s="235" t="s">
        <v>59</v>
      </c>
      <c r="E33" s="70"/>
      <c r="F33" s="75"/>
      <c r="G33" s="75"/>
      <c r="H33" s="75"/>
      <c r="I33" s="71">
        <f>H33+G33</f>
        <v>0</v>
      </c>
      <c r="J33" s="78">
        <f>SUM(J24:J31)</f>
        <v>9516.595</v>
      </c>
    </row>
    <row r="34" spans="1:10" ht="13.5" thickBot="1">
      <c r="A34" s="80"/>
      <c r="B34" s="81"/>
      <c r="C34" s="81"/>
      <c r="D34" s="232"/>
      <c r="E34" s="90"/>
      <c r="F34" s="92"/>
      <c r="G34" s="92"/>
      <c r="H34" s="92"/>
      <c r="I34" s="92">
        <f>H34+G34</f>
        <v>0</v>
      </c>
      <c r="J34" s="93"/>
    </row>
    <row r="35" spans="1:10" ht="24.75" customHeight="1" thickBot="1">
      <c r="A35" s="108">
        <v>4</v>
      </c>
      <c r="B35" s="154"/>
      <c r="C35" s="543" t="s">
        <v>87</v>
      </c>
      <c r="D35" s="543"/>
      <c r="E35" s="543"/>
      <c r="F35" s="543"/>
      <c r="G35" s="543"/>
      <c r="H35" s="543"/>
      <c r="I35" s="543"/>
      <c r="J35" s="544"/>
    </row>
    <row r="36" spans="1:10" ht="94.5">
      <c r="A36" s="38"/>
      <c r="B36" s="39" t="s">
        <v>41</v>
      </c>
      <c r="C36" s="228" t="s">
        <v>391</v>
      </c>
      <c r="D36" s="82" t="s">
        <v>160</v>
      </c>
      <c r="E36" s="39" t="s">
        <v>7</v>
      </c>
      <c r="F36" s="41">
        <v>50</v>
      </c>
      <c r="G36" s="229">
        <v>30.67</v>
      </c>
      <c r="H36" s="230">
        <v>37.79</v>
      </c>
      <c r="I36" s="230">
        <v>68.46</v>
      </c>
      <c r="J36" s="42">
        <f>I36*F36</f>
        <v>3422.9999999999995</v>
      </c>
    </row>
    <row r="37" spans="1:10" ht="15.75">
      <c r="A37" s="43"/>
      <c r="B37" s="44" t="s">
        <v>47</v>
      </c>
      <c r="C37" s="44"/>
      <c r="D37" s="231" t="s">
        <v>481</v>
      </c>
      <c r="E37" s="44" t="s">
        <v>211</v>
      </c>
      <c r="F37" s="46">
        <v>16</v>
      </c>
      <c r="G37" s="46">
        <v>11.6</v>
      </c>
      <c r="H37" s="46"/>
      <c r="I37" s="46">
        <f>H37+G37</f>
        <v>11.6</v>
      </c>
      <c r="J37" s="47">
        <f>I37*F37</f>
        <v>185.6</v>
      </c>
    </row>
    <row r="38" spans="1:10" ht="16.5" thickBot="1">
      <c r="A38" s="43"/>
      <c r="B38" s="44"/>
      <c r="C38" s="44"/>
      <c r="D38" s="84"/>
      <c r="E38" s="83"/>
      <c r="F38" s="57"/>
      <c r="G38" s="57"/>
      <c r="H38" s="57"/>
      <c r="I38" s="57">
        <f>H38+G38</f>
        <v>0</v>
      </c>
      <c r="J38" s="60"/>
    </row>
    <row r="39" spans="1:10" ht="16.5" thickBot="1">
      <c r="A39" s="43"/>
      <c r="B39" s="44"/>
      <c r="C39" s="125"/>
      <c r="D39" s="235" t="s">
        <v>107</v>
      </c>
      <c r="E39" s="70"/>
      <c r="F39" s="75"/>
      <c r="G39" s="75"/>
      <c r="H39" s="75"/>
      <c r="I39" s="71">
        <f>H39+G39</f>
        <v>0</v>
      </c>
      <c r="J39" s="78">
        <f>SUM(J36:J38)</f>
        <v>3608.5999999999995</v>
      </c>
    </row>
    <row r="40" spans="1:10" ht="16.5" thickBot="1">
      <c r="A40" s="49"/>
      <c r="B40" s="50"/>
      <c r="C40" s="50"/>
      <c r="D40" s="241"/>
      <c r="E40" s="134"/>
      <c r="F40" s="138"/>
      <c r="G40" s="138"/>
      <c r="H40" s="138"/>
      <c r="I40" s="138">
        <f>H40+G40</f>
        <v>0</v>
      </c>
      <c r="J40" s="139">
        <f>I40*F40</f>
        <v>0</v>
      </c>
    </row>
    <row r="41" spans="1:10" ht="24.75" customHeight="1" thickBot="1">
      <c r="A41" s="108">
        <v>5</v>
      </c>
      <c r="B41" s="154"/>
      <c r="C41" s="543" t="s">
        <v>88</v>
      </c>
      <c r="D41" s="543"/>
      <c r="E41" s="543"/>
      <c r="F41" s="543"/>
      <c r="G41" s="543"/>
      <c r="H41" s="543"/>
      <c r="I41" s="543"/>
      <c r="J41" s="544"/>
    </row>
    <row r="42" spans="1:10" ht="15.75">
      <c r="A42" s="38"/>
      <c r="B42" s="39" t="s">
        <v>10</v>
      </c>
      <c r="C42" s="228" t="s">
        <v>392</v>
      </c>
      <c r="D42" s="40" t="s">
        <v>486</v>
      </c>
      <c r="E42" s="39" t="s">
        <v>7</v>
      </c>
      <c r="F42" s="41">
        <v>25</v>
      </c>
      <c r="G42" s="229">
        <v>29.6</v>
      </c>
      <c r="H42" s="230">
        <v>22.85</v>
      </c>
      <c r="I42" s="230">
        <v>52.45</v>
      </c>
      <c r="J42" s="42">
        <f>I42*F42</f>
        <v>1311.25</v>
      </c>
    </row>
    <row r="43" spans="1:10" ht="31.5">
      <c r="A43" s="43"/>
      <c r="B43" s="44" t="s">
        <v>11</v>
      </c>
      <c r="C43" s="212" t="s">
        <v>393</v>
      </c>
      <c r="D43" s="231" t="s">
        <v>487</v>
      </c>
      <c r="E43" s="44" t="s">
        <v>13</v>
      </c>
      <c r="F43" s="46">
        <v>6</v>
      </c>
      <c r="G43" s="214">
        <v>6.81</v>
      </c>
      <c r="H43" s="215">
        <v>12.6</v>
      </c>
      <c r="I43" s="215">
        <v>19.41</v>
      </c>
      <c r="J43" s="47">
        <f>I43*F43</f>
        <v>116.46000000000001</v>
      </c>
    </row>
    <row r="44" spans="1:10" ht="31.5">
      <c r="A44" s="43"/>
      <c r="B44" s="44" t="s">
        <v>161</v>
      </c>
      <c r="C44" s="212" t="s">
        <v>394</v>
      </c>
      <c r="D44" s="213" t="s">
        <v>395</v>
      </c>
      <c r="E44" s="212" t="s">
        <v>13</v>
      </c>
      <c r="F44" s="46">
        <v>11</v>
      </c>
      <c r="G44" s="214">
        <v>21.57</v>
      </c>
      <c r="H44" s="215">
        <v>39.64</v>
      </c>
      <c r="I44" s="215">
        <v>61.21</v>
      </c>
      <c r="J44" s="47">
        <f>I44*F44</f>
        <v>673.3100000000001</v>
      </c>
    </row>
    <row r="45" spans="1:10" ht="16.5" thickBot="1">
      <c r="A45" s="43"/>
      <c r="B45" s="44"/>
      <c r="C45" s="44"/>
      <c r="D45" s="240"/>
      <c r="E45" s="83"/>
      <c r="F45" s="57"/>
      <c r="G45" s="57"/>
      <c r="H45" s="57"/>
      <c r="I45" s="57"/>
      <c r="J45" s="60"/>
    </row>
    <row r="46" spans="1:10" ht="16.5" thickBot="1">
      <c r="A46" s="43"/>
      <c r="B46" s="44"/>
      <c r="C46" s="125"/>
      <c r="D46" s="235" t="s">
        <v>58</v>
      </c>
      <c r="E46" s="70"/>
      <c r="F46" s="75"/>
      <c r="G46" s="128"/>
      <c r="H46" s="88"/>
      <c r="I46" s="72">
        <f>H46+G46</f>
        <v>0</v>
      </c>
      <c r="J46" s="206">
        <f>SUM(J42:J44)</f>
        <v>2101.02</v>
      </c>
    </row>
    <row r="47" spans="1:10" ht="16.5" thickBot="1">
      <c r="A47" s="49"/>
      <c r="B47" s="50"/>
      <c r="C47" s="50"/>
      <c r="D47" s="242"/>
      <c r="E47" s="134"/>
      <c r="F47" s="138"/>
      <c r="G47" s="138"/>
      <c r="H47" s="138"/>
      <c r="I47" s="138">
        <f>H47+G47</f>
        <v>0</v>
      </c>
      <c r="J47" s="139">
        <f>I47*F47</f>
        <v>0</v>
      </c>
    </row>
    <row r="48" spans="1:10" s="15" customFormat="1" ht="33.75" customHeight="1" thickBot="1">
      <c r="A48" s="216">
        <v>6</v>
      </c>
      <c r="B48" s="217"/>
      <c r="C48" s="551" t="s">
        <v>162</v>
      </c>
      <c r="D48" s="551"/>
      <c r="E48" s="551"/>
      <c r="F48" s="551"/>
      <c r="G48" s="551"/>
      <c r="H48" s="551"/>
      <c r="I48" s="551"/>
      <c r="J48" s="552"/>
    </row>
    <row r="49" spans="1:10" s="15" customFormat="1" ht="16.5" thickBot="1">
      <c r="A49" s="247"/>
      <c r="B49" s="248"/>
      <c r="C49" s="248"/>
      <c r="D49" s="249"/>
      <c r="E49" s="248"/>
      <c r="F49" s="250"/>
      <c r="G49" s="250"/>
      <c r="H49" s="250"/>
      <c r="I49" s="250">
        <f>H49+G49</f>
        <v>0</v>
      </c>
      <c r="J49" s="251"/>
    </row>
    <row r="50" spans="1:10" s="15" customFormat="1" ht="39.75" customHeight="1" thickBot="1">
      <c r="A50" s="216"/>
      <c r="B50" s="252" t="s">
        <v>14</v>
      </c>
      <c r="C50" s="551" t="s">
        <v>294</v>
      </c>
      <c r="D50" s="551"/>
      <c r="E50" s="551"/>
      <c r="F50" s="551"/>
      <c r="G50" s="551"/>
      <c r="H50" s="551"/>
      <c r="I50" s="551"/>
      <c r="J50" s="552"/>
    </row>
    <row r="51" spans="1:10" s="15" customFormat="1" ht="31.5">
      <c r="A51" s="61"/>
      <c r="B51" s="62" t="s">
        <v>163</v>
      </c>
      <c r="C51" s="218" t="s">
        <v>396</v>
      </c>
      <c r="D51" s="219" t="s">
        <v>397</v>
      </c>
      <c r="E51" s="218" t="s">
        <v>12</v>
      </c>
      <c r="F51" s="65">
        <v>2</v>
      </c>
      <c r="G51" s="220">
        <v>551.45</v>
      </c>
      <c r="H51" s="221">
        <v>89.36</v>
      </c>
      <c r="I51" s="221">
        <v>640.81</v>
      </c>
      <c r="J51" s="68">
        <f>I51*F51</f>
        <v>1281.62</v>
      </c>
    </row>
    <row r="52" spans="1:10" s="15" customFormat="1" ht="31.5">
      <c r="A52" s="43"/>
      <c r="B52" s="48" t="s">
        <v>164</v>
      </c>
      <c r="C52" s="212" t="s">
        <v>398</v>
      </c>
      <c r="D52" s="213" t="s">
        <v>399</v>
      </c>
      <c r="E52" s="212" t="s">
        <v>12</v>
      </c>
      <c r="F52" s="46">
        <v>2</v>
      </c>
      <c r="G52" s="214">
        <v>584.07</v>
      </c>
      <c r="H52" s="215">
        <v>89.36</v>
      </c>
      <c r="I52" s="215">
        <v>673.43</v>
      </c>
      <c r="J52" s="47">
        <f>I52*F52</f>
        <v>1346.86</v>
      </c>
    </row>
    <row r="53" spans="1:10" s="15" customFormat="1" ht="31.5">
      <c r="A53" s="43"/>
      <c r="B53" s="48" t="s">
        <v>170</v>
      </c>
      <c r="C53" s="212" t="s">
        <v>400</v>
      </c>
      <c r="D53" s="213" t="s">
        <v>401</v>
      </c>
      <c r="E53" s="212" t="s">
        <v>128</v>
      </c>
      <c r="F53" s="46">
        <v>4</v>
      </c>
      <c r="G53" s="214">
        <v>148.27</v>
      </c>
      <c r="H53" s="215">
        <v>47.24</v>
      </c>
      <c r="I53" s="215">
        <v>195.51</v>
      </c>
      <c r="J53" s="47">
        <f>I53*F53</f>
        <v>782.04</v>
      </c>
    </row>
    <row r="54" spans="1:10" s="15" customFormat="1" ht="16.5" thickBot="1">
      <c r="A54" s="53"/>
      <c r="B54" s="54"/>
      <c r="C54" s="83"/>
      <c r="D54" s="240"/>
      <c r="E54" s="83"/>
      <c r="F54" s="57"/>
      <c r="G54" s="57"/>
      <c r="H54" s="57"/>
      <c r="I54" s="57">
        <f>H54+G54</f>
        <v>0</v>
      </c>
      <c r="J54" s="60"/>
    </row>
    <row r="55" spans="1:10" s="15" customFormat="1" ht="41.25" customHeight="1" thickBot="1">
      <c r="A55" s="216"/>
      <c r="B55" s="252" t="s">
        <v>31</v>
      </c>
      <c r="C55" s="551" t="s">
        <v>295</v>
      </c>
      <c r="D55" s="551"/>
      <c r="E55" s="551"/>
      <c r="F55" s="551"/>
      <c r="G55" s="551"/>
      <c r="H55" s="551"/>
      <c r="I55" s="551"/>
      <c r="J55" s="552"/>
    </row>
    <row r="56" spans="1:10" s="15" customFormat="1" ht="47.25">
      <c r="A56" s="61"/>
      <c r="B56" s="62" t="s">
        <v>165</v>
      </c>
      <c r="C56" s="218" t="s">
        <v>402</v>
      </c>
      <c r="D56" s="86" t="s">
        <v>296</v>
      </c>
      <c r="E56" s="85" t="s">
        <v>7</v>
      </c>
      <c r="F56" s="65">
        <v>4.18</v>
      </c>
      <c r="G56" s="220">
        <v>336.8</v>
      </c>
      <c r="H56" s="221">
        <v>42.34</v>
      </c>
      <c r="I56" s="221">
        <v>379.14</v>
      </c>
      <c r="J56" s="68">
        <f>I56*F56</f>
        <v>1584.8051999999998</v>
      </c>
    </row>
    <row r="57" spans="1:10" s="15" customFormat="1" ht="15.75">
      <c r="A57" s="43"/>
      <c r="B57" s="48" t="s">
        <v>166</v>
      </c>
      <c r="C57" s="212" t="s">
        <v>403</v>
      </c>
      <c r="D57" s="45" t="s">
        <v>297</v>
      </c>
      <c r="E57" s="44" t="s">
        <v>7</v>
      </c>
      <c r="F57" s="46">
        <v>4.29</v>
      </c>
      <c r="G57" s="214">
        <v>336.8</v>
      </c>
      <c r="H57" s="215">
        <v>42.34</v>
      </c>
      <c r="I57" s="215">
        <v>379.14</v>
      </c>
      <c r="J57" s="47">
        <f>I57*F57</f>
        <v>1626.5106</v>
      </c>
    </row>
    <row r="58" spans="1:10" s="15" customFormat="1" ht="31.5">
      <c r="A58" s="43"/>
      <c r="B58" s="48" t="s">
        <v>167</v>
      </c>
      <c r="C58" s="212" t="s">
        <v>404</v>
      </c>
      <c r="D58" s="45" t="s">
        <v>298</v>
      </c>
      <c r="E58" s="44" t="s">
        <v>7</v>
      </c>
      <c r="F58" s="46">
        <v>1.2</v>
      </c>
      <c r="G58" s="214">
        <v>336.8</v>
      </c>
      <c r="H58" s="215">
        <v>42.34</v>
      </c>
      <c r="I58" s="215">
        <v>379.14</v>
      </c>
      <c r="J58" s="47">
        <f>I58*F58</f>
        <v>454.96799999999996</v>
      </c>
    </row>
    <row r="59" spans="1:10" s="15" customFormat="1" ht="47.25">
      <c r="A59" s="43"/>
      <c r="B59" s="48" t="s">
        <v>168</v>
      </c>
      <c r="C59" s="212" t="s">
        <v>405</v>
      </c>
      <c r="D59" s="45" t="s">
        <v>299</v>
      </c>
      <c r="E59" s="44" t="s">
        <v>7</v>
      </c>
      <c r="F59" s="46">
        <v>8.25</v>
      </c>
      <c r="G59" s="214">
        <v>336.8</v>
      </c>
      <c r="H59" s="215">
        <v>42.34</v>
      </c>
      <c r="I59" s="215">
        <v>379.14</v>
      </c>
      <c r="J59" s="47">
        <f>I59*F59</f>
        <v>3127.9049999999997</v>
      </c>
    </row>
    <row r="60" spans="1:10" s="15" customFormat="1" ht="47.25">
      <c r="A60" s="43"/>
      <c r="B60" s="48" t="s">
        <v>300</v>
      </c>
      <c r="C60" s="212" t="s">
        <v>406</v>
      </c>
      <c r="D60" s="45" t="s">
        <v>301</v>
      </c>
      <c r="E60" s="44" t="s">
        <v>7</v>
      </c>
      <c r="F60" s="46">
        <v>4.07</v>
      </c>
      <c r="G60" s="214">
        <v>336.8</v>
      </c>
      <c r="H60" s="215">
        <v>42.34</v>
      </c>
      <c r="I60" s="215">
        <v>379.14</v>
      </c>
      <c r="J60" s="47">
        <f>I60*F60</f>
        <v>1543.0998</v>
      </c>
    </row>
    <row r="61" spans="1:10" s="15" customFormat="1" ht="16.5" thickBot="1">
      <c r="A61" s="43"/>
      <c r="B61" s="44"/>
      <c r="C61" s="44"/>
      <c r="D61" s="240"/>
      <c r="E61" s="83"/>
      <c r="F61" s="57"/>
      <c r="G61" s="57"/>
      <c r="H61" s="57"/>
      <c r="I61" s="57">
        <f>H61+G61</f>
        <v>0</v>
      </c>
      <c r="J61" s="60"/>
    </row>
    <row r="62" spans="1:10" s="15" customFormat="1" ht="16.5" thickBot="1">
      <c r="A62" s="43"/>
      <c r="B62" s="44"/>
      <c r="C62" s="125"/>
      <c r="D62" s="235" t="s">
        <v>169</v>
      </c>
      <c r="E62" s="70"/>
      <c r="F62" s="75"/>
      <c r="G62" s="75"/>
      <c r="H62" s="75"/>
      <c r="I62" s="71">
        <f>H62+G62</f>
        <v>0</v>
      </c>
      <c r="J62" s="78">
        <f>SUM(J51:J61)</f>
        <v>11747.808599999998</v>
      </c>
    </row>
    <row r="63" spans="1:10" ht="16.5" thickBot="1">
      <c r="A63" s="49"/>
      <c r="B63" s="50"/>
      <c r="C63" s="50"/>
      <c r="D63" s="246"/>
      <c r="E63" s="134"/>
      <c r="F63" s="138"/>
      <c r="G63" s="138"/>
      <c r="H63" s="138"/>
      <c r="I63" s="138">
        <f>H63+G63</f>
        <v>0</v>
      </c>
      <c r="J63" s="139">
        <f>I63*F63</f>
        <v>0</v>
      </c>
    </row>
    <row r="64" spans="1:10" ht="24.75" customHeight="1" thickBot="1">
      <c r="A64" s="216">
        <v>7</v>
      </c>
      <c r="B64" s="217"/>
      <c r="C64" s="553" t="s">
        <v>303</v>
      </c>
      <c r="D64" s="554"/>
      <c r="E64" s="554"/>
      <c r="F64" s="554"/>
      <c r="G64" s="554"/>
      <c r="H64" s="554"/>
      <c r="I64" s="554"/>
      <c r="J64" s="555"/>
    </row>
    <row r="65" spans="1:10" ht="15.75">
      <c r="A65" s="61"/>
      <c r="B65" s="85"/>
      <c r="C65" s="85"/>
      <c r="D65" s="255"/>
      <c r="E65" s="256"/>
      <c r="F65" s="65"/>
      <c r="G65" s="65"/>
      <c r="H65" s="65"/>
      <c r="I65" s="65">
        <f>H65+G65</f>
        <v>0</v>
      </c>
      <c r="J65" s="68">
        <f>I65*F65</f>
        <v>0</v>
      </c>
    </row>
    <row r="66" spans="1:10" ht="94.5">
      <c r="A66" s="43"/>
      <c r="B66" s="44" t="s">
        <v>16</v>
      </c>
      <c r="C66" s="212" t="s">
        <v>407</v>
      </c>
      <c r="D66" s="204" t="s">
        <v>302</v>
      </c>
      <c r="E66" s="168" t="s">
        <v>7</v>
      </c>
      <c r="F66" s="46">
        <v>10</v>
      </c>
      <c r="G66" s="214">
        <v>208.33</v>
      </c>
      <c r="H66" s="215">
        <v>0</v>
      </c>
      <c r="I66" s="215">
        <v>208.33</v>
      </c>
      <c r="J66" s="47">
        <f>I66*F66</f>
        <v>2083.3</v>
      </c>
    </row>
    <row r="67" spans="1:10" ht="47.25">
      <c r="A67" s="43"/>
      <c r="B67" s="44" t="s">
        <v>227</v>
      </c>
      <c r="C67" s="44" t="s">
        <v>345</v>
      </c>
      <c r="D67" s="204" t="s">
        <v>304</v>
      </c>
      <c r="E67" s="168" t="s">
        <v>131</v>
      </c>
      <c r="F67" s="46">
        <v>1</v>
      </c>
      <c r="G67" s="46">
        <v>1800</v>
      </c>
      <c r="H67" s="46">
        <v>530</v>
      </c>
      <c r="I67" s="46">
        <f>H67+G67</f>
        <v>2330</v>
      </c>
      <c r="J67" s="47">
        <f>I67*F67</f>
        <v>2330</v>
      </c>
    </row>
    <row r="68" spans="1:10" ht="16.5" thickBot="1">
      <c r="A68" s="43"/>
      <c r="B68" s="44"/>
      <c r="C68" s="44"/>
      <c r="D68" s="257"/>
      <c r="E68" s="191"/>
      <c r="F68" s="57"/>
      <c r="G68" s="57"/>
      <c r="H68" s="57"/>
      <c r="I68" s="57"/>
      <c r="J68" s="60"/>
    </row>
    <row r="69" spans="1:10" ht="16.5" thickBot="1">
      <c r="A69" s="43"/>
      <c r="B69" s="44"/>
      <c r="C69" s="125"/>
      <c r="D69" s="235" t="s">
        <v>108</v>
      </c>
      <c r="E69" s="87"/>
      <c r="F69" s="71"/>
      <c r="G69" s="71"/>
      <c r="H69" s="71"/>
      <c r="I69" s="71">
        <f>H69+G69</f>
        <v>0</v>
      </c>
      <c r="J69" s="78">
        <f>SUM(J66:J68)</f>
        <v>4413.3</v>
      </c>
    </row>
    <row r="70" spans="1:10" ht="16.5" thickBot="1">
      <c r="A70" s="49"/>
      <c r="B70" s="50"/>
      <c r="C70" s="50"/>
      <c r="D70" s="241"/>
      <c r="E70" s="134"/>
      <c r="F70" s="138"/>
      <c r="G70" s="138"/>
      <c r="H70" s="138"/>
      <c r="I70" s="138">
        <f>H70+G70</f>
        <v>0</v>
      </c>
      <c r="J70" s="139"/>
    </row>
    <row r="71" spans="1:10" s="14" customFormat="1" ht="24.75" customHeight="1" thickBot="1">
      <c r="A71" s="216">
        <v>8</v>
      </c>
      <c r="B71" s="217"/>
      <c r="C71" s="556" t="s">
        <v>105</v>
      </c>
      <c r="D71" s="543"/>
      <c r="E71" s="543"/>
      <c r="F71" s="543"/>
      <c r="G71" s="543"/>
      <c r="H71" s="543"/>
      <c r="I71" s="543"/>
      <c r="J71" s="544"/>
    </row>
    <row r="72" spans="1:10" s="14" customFormat="1" ht="31.5">
      <c r="A72" s="61"/>
      <c r="B72" s="85" t="s">
        <v>17</v>
      </c>
      <c r="C72" s="218" t="s">
        <v>408</v>
      </c>
      <c r="D72" s="219" t="s">
        <v>409</v>
      </c>
      <c r="E72" s="85" t="s">
        <v>128</v>
      </c>
      <c r="F72" s="65">
        <v>1</v>
      </c>
      <c r="G72" s="220">
        <v>381.33</v>
      </c>
      <c r="H72" s="221">
        <v>43.14</v>
      </c>
      <c r="I72" s="221">
        <v>424.47</v>
      </c>
      <c r="J72" s="68">
        <f>I72*F72</f>
        <v>424.47</v>
      </c>
    </row>
    <row r="73" spans="1:10" s="14" customFormat="1" ht="15.75">
      <c r="A73" s="43"/>
      <c r="B73" s="44"/>
      <c r="C73" s="212" t="s">
        <v>410</v>
      </c>
      <c r="D73" s="213" t="s">
        <v>411</v>
      </c>
      <c r="E73" s="44" t="s">
        <v>12</v>
      </c>
      <c r="F73" s="46">
        <v>1</v>
      </c>
      <c r="G73" s="214">
        <v>23.62</v>
      </c>
      <c r="H73" s="215">
        <v>2.13</v>
      </c>
      <c r="I73" s="215">
        <v>25.75</v>
      </c>
      <c r="J73" s="47">
        <f>I73*F73</f>
        <v>25.75</v>
      </c>
    </row>
    <row r="74" spans="1:10" s="14" customFormat="1" ht="15.75">
      <c r="A74" s="43"/>
      <c r="B74" s="44" t="s">
        <v>49</v>
      </c>
      <c r="C74" s="212" t="s">
        <v>412</v>
      </c>
      <c r="D74" s="213" t="s">
        <v>413</v>
      </c>
      <c r="E74" s="44" t="s">
        <v>7</v>
      </c>
      <c r="F74" s="46">
        <v>0.65</v>
      </c>
      <c r="G74" s="214">
        <v>832.09</v>
      </c>
      <c r="H74" s="215">
        <v>64.8</v>
      </c>
      <c r="I74" s="215">
        <v>896.89</v>
      </c>
      <c r="J74" s="47">
        <f>I74*F74</f>
        <v>582.9785</v>
      </c>
    </row>
    <row r="75" spans="1:10" s="14" customFormat="1" ht="31.5">
      <c r="A75" s="43"/>
      <c r="B75" s="44" t="s">
        <v>171</v>
      </c>
      <c r="C75" s="212" t="s">
        <v>414</v>
      </c>
      <c r="D75" s="213" t="s">
        <v>415</v>
      </c>
      <c r="E75" s="212" t="s">
        <v>12</v>
      </c>
      <c r="F75" s="46">
        <v>1</v>
      </c>
      <c r="G75" s="214">
        <v>162.83</v>
      </c>
      <c r="H75" s="215">
        <v>18.02</v>
      </c>
      <c r="I75" s="215">
        <v>180.85</v>
      </c>
      <c r="J75" s="47">
        <f>I75*F75</f>
        <v>180.85</v>
      </c>
    </row>
    <row r="76" spans="1:10" s="14" customFormat="1" ht="15.75">
      <c r="A76" s="43"/>
      <c r="B76" s="44" t="s">
        <v>172</v>
      </c>
      <c r="C76" s="212" t="s">
        <v>416</v>
      </c>
      <c r="D76" s="213" t="s">
        <v>308</v>
      </c>
      <c r="E76" s="44" t="s">
        <v>12</v>
      </c>
      <c r="F76" s="46">
        <v>1</v>
      </c>
      <c r="G76" s="214">
        <v>154.41</v>
      </c>
      <c r="H76" s="215">
        <v>50.24</v>
      </c>
      <c r="I76" s="215">
        <v>204.65</v>
      </c>
      <c r="J76" s="47">
        <f>I76*F76</f>
        <v>204.65</v>
      </c>
    </row>
    <row r="77" spans="1:10" ht="16.5" thickBot="1">
      <c r="A77" s="43"/>
      <c r="B77" s="44"/>
      <c r="C77" s="44"/>
      <c r="D77" s="84"/>
      <c r="E77" s="83"/>
      <c r="F77" s="57"/>
      <c r="G77" s="57"/>
      <c r="H77" s="57"/>
      <c r="I77" s="57"/>
      <c r="J77" s="60"/>
    </row>
    <row r="78" spans="1:10" ht="16.5" thickBot="1">
      <c r="A78" s="43"/>
      <c r="B78" s="44"/>
      <c r="C78" s="125"/>
      <c r="D78" s="235" t="s">
        <v>109</v>
      </c>
      <c r="E78" s="87"/>
      <c r="F78" s="71"/>
      <c r="G78" s="71"/>
      <c r="H78" s="71"/>
      <c r="I78" s="71">
        <f>H78+G78</f>
        <v>0</v>
      </c>
      <c r="J78" s="78">
        <f>SUM(J72:J77)</f>
        <v>1418.6985</v>
      </c>
    </row>
    <row r="79" spans="1:10" ht="16.5" thickBot="1">
      <c r="A79" s="49"/>
      <c r="B79" s="50"/>
      <c r="C79" s="50"/>
      <c r="D79" s="242"/>
      <c r="E79" s="134"/>
      <c r="F79" s="138"/>
      <c r="G79" s="138"/>
      <c r="H79" s="138"/>
      <c r="I79" s="138">
        <f>H79+G79</f>
        <v>0</v>
      </c>
      <c r="J79" s="139"/>
    </row>
    <row r="80" spans="1:10" ht="24.75" customHeight="1" thickBot="1">
      <c r="A80" s="216">
        <v>9</v>
      </c>
      <c r="B80" s="217"/>
      <c r="C80" s="556" t="s">
        <v>306</v>
      </c>
      <c r="D80" s="543"/>
      <c r="E80" s="543"/>
      <c r="F80" s="543"/>
      <c r="G80" s="543"/>
      <c r="H80" s="543"/>
      <c r="I80" s="543"/>
      <c r="J80" s="544"/>
    </row>
    <row r="81" spans="1:10" ht="47.25">
      <c r="A81" s="263"/>
      <c r="B81" s="85" t="s">
        <v>173</v>
      </c>
      <c r="C81" s="218" t="s">
        <v>417</v>
      </c>
      <c r="D81" s="86" t="s">
        <v>305</v>
      </c>
      <c r="E81" s="85" t="s">
        <v>7</v>
      </c>
      <c r="F81" s="65">
        <v>11.35</v>
      </c>
      <c r="G81" s="220">
        <v>718.95</v>
      </c>
      <c r="H81" s="221">
        <v>0</v>
      </c>
      <c r="I81" s="221">
        <v>718.95</v>
      </c>
      <c r="J81" s="68">
        <f>I81*F81</f>
        <v>8160.0825</v>
      </c>
    </row>
    <row r="82" spans="1:10" ht="31.5">
      <c r="A82" s="120"/>
      <c r="B82" s="44" t="s">
        <v>174</v>
      </c>
      <c r="C82" s="212" t="s">
        <v>417</v>
      </c>
      <c r="D82" s="45" t="s">
        <v>307</v>
      </c>
      <c r="E82" s="44" t="s">
        <v>7</v>
      </c>
      <c r="F82" s="46">
        <v>1.2</v>
      </c>
      <c r="G82" s="214">
        <v>718.95</v>
      </c>
      <c r="H82" s="215">
        <v>0</v>
      </c>
      <c r="I82" s="215">
        <v>718.95</v>
      </c>
      <c r="J82" s="47">
        <f>I82*F82</f>
        <v>862.74</v>
      </c>
    </row>
    <row r="83" spans="1:10" ht="16.5" thickBot="1">
      <c r="A83" s="120"/>
      <c r="B83" s="44"/>
      <c r="C83" s="44"/>
      <c r="D83" s="45"/>
      <c r="E83" s="44"/>
      <c r="F83" s="46"/>
      <c r="G83" s="46"/>
      <c r="H83" s="46"/>
      <c r="I83" s="46"/>
      <c r="J83" s="47"/>
    </row>
    <row r="84" spans="1:10" ht="16.5" thickBot="1">
      <c r="A84" s="259"/>
      <c r="B84" s="260"/>
      <c r="C84" s="269"/>
      <c r="D84" s="235" t="s">
        <v>110</v>
      </c>
      <c r="E84" s="87"/>
      <c r="F84" s="71"/>
      <c r="G84" s="71"/>
      <c r="H84" s="71"/>
      <c r="I84" s="71">
        <f>H84+G84</f>
        <v>0</v>
      </c>
      <c r="J84" s="78">
        <f>SUM(J81:J83)</f>
        <v>9022.8225</v>
      </c>
    </row>
    <row r="85" spans="1:10" ht="16.5" thickBot="1">
      <c r="A85" s="261"/>
      <c r="B85" s="262"/>
      <c r="C85" s="262"/>
      <c r="D85" s="270"/>
      <c r="E85" s="134"/>
      <c r="F85" s="138"/>
      <c r="G85" s="138"/>
      <c r="H85" s="138"/>
      <c r="I85" s="138">
        <f>H85+G85</f>
        <v>0</v>
      </c>
      <c r="J85" s="139">
        <f aca="true" t="shared" si="2" ref="J85:J104">I85*F85</f>
        <v>0</v>
      </c>
    </row>
    <row r="86" spans="1:10" ht="24.75" customHeight="1" thickBot="1">
      <c r="A86" s="216">
        <v>10</v>
      </c>
      <c r="B86" s="217"/>
      <c r="C86" s="556" t="s">
        <v>175</v>
      </c>
      <c r="D86" s="543"/>
      <c r="E86" s="543"/>
      <c r="F86" s="543"/>
      <c r="G86" s="543"/>
      <c r="H86" s="543"/>
      <c r="I86" s="543"/>
      <c r="J86" s="544"/>
    </row>
    <row r="87" spans="1:10" ht="31.5">
      <c r="A87" s="263"/>
      <c r="B87" s="85" t="s">
        <v>18</v>
      </c>
      <c r="C87" s="218" t="s">
        <v>418</v>
      </c>
      <c r="D87" s="86" t="s">
        <v>84</v>
      </c>
      <c r="E87" s="85" t="s">
        <v>13</v>
      </c>
      <c r="F87" s="65">
        <v>12</v>
      </c>
      <c r="G87" s="220">
        <v>75.41</v>
      </c>
      <c r="H87" s="221">
        <v>0</v>
      </c>
      <c r="I87" s="221">
        <v>75.41</v>
      </c>
      <c r="J87" s="68">
        <f t="shared" si="2"/>
        <v>904.92</v>
      </c>
    </row>
    <row r="88" spans="1:10" ht="15.75">
      <c r="A88" s="120"/>
      <c r="B88" s="44" t="s">
        <v>85</v>
      </c>
      <c r="C88" s="212" t="s">
        <v>419</v>
      </c>
      <c r="D88" s="264" t="s">
        <v>176</v>
      </c>
      <c r="E88" s="44" t="s">
        <v>131</v>
      </c>
      <c r="F88" s="46">
        <v>2</v>
      </c>
      <c r="G88" s="214">
        <v>2703.4</v>
      </c>
      <c r="H88" s="215">
        <v>0</v>
      </c>
      <c r="I88" s="215">
        <v>2703.4</v>
      </c>
      <c r="J88" s="47">
        <f t="shared" si="2"/>
        <v>5406.8</v>
      </c>
    </row>
    <row r="89" spans="1:10" ht="16.5" thickBot="1">
      <c r="A89" s="120"/>
      <c r="B89" s="44"/>
      <c r="C89" s="44"/>
      <c r="D89" s="265"/>
      <c r="E89" s="83"/>
      <c r="F89" s="57"/>
      <c r="G89" s="57"/>
      <c r="H89" s="57"/>
      <c r="I89" s="57"/>
      <c r="J89" s="60"/>
    </row>
    <row r="90" spans="1:10" s="3" customFormat="1" ht="16.5" thickBot="1">
      <c r="A90" s="43"/>
      <c r="B90" s="44"/>
      <c r="C90" s="125"/>
      <c r="D90" s="235" t="s">
        <v>61</v>
      </c>
      <c r="E90" s="268"/>
      <c r="F90" s="268"/>
      <c r="G90" s="268"/>
      <c r="H90" s="129"/>
      <c r="I90" s="71">
        <f>H90+G90</f>
        <v>0</v>
      </c>
      <c r="J90" s="78">
        <f>SUM(J87:J89)</f>
        <v>6311.72</v>
      </c>
    </row>
    <row r="91" spans="1:10" s="3" customFormat="1" ht="16.5" thickBot="1">
      <c r="A91" s="49"/>
      <c r="B91" s="50"/>
      <c r="C91" s="50"/>
      <c r="D91" s="241"/>
      <c r="E91" s="266"/>
      <c r="F91" s="266"/>
      <c r="G91" s="266"/>
      <c r="H91" s="267"/>
      <c r="I91" s="138">
        <f>H91+G91</f>
        <v>0</v>
      </c>
      <c r="J91" s="139">
        <f t="shared" si="2"/>
        <v>0</v>
      </c>
    </row>
    <row r="92" spans="1:10" ht="24.75" customHeight="1" thickBot="1">
      <c r="A92" s="271">
        <v>11</v>
      </c>
      <c r="B92" s="154"/>
      <c r="C92" s="539" t="s">
        <v>104</v>
      </c>
      <c r="D92" s="539"/>
      <c r="E92" s="539"/>
      <c r="F92" s="539"/>
      <c r="G92" s="539"/>
      <c r="H92" s="539"/>
      <c r="I92" s="539"/>
      <c r="J92" s="540"/>
    </row>
    <row r="93" spans="1:10" ht="24.75" customHeight="1" thickBot="1">
      <c r="A93" s="271"/>
      <c r="B93" s="154" t="s">
        <v>19</v>
      </c>
      <c r="C93" s="539" t="s">
        <v>311</v>
      </c>
      <c r="D93" s="539"/>
      <c r="E93" s="539"/>
      <c r="F93" s="539"/>
      <c r="G93" s="539"/>
      <c r="H93" s="539"/>
      <c r="I93" s="539"/>
      <c r="J93" s="540"/>
    </row>
    <row r="94" spans="1:10" ht="31.5">
      <c r="A94" s="272"/>
      <c r="B94" s="39" t="s">
        <v>177</v>
      </c>
      <c r="C94" s="228" t="s">
        <v>420</v>
      </c>
      <c r="D94" s="82" t="s">
        <v>260</v>
      </c>
      <c r="E94" s="39" t="s">
        <v>7</v>
      </c>
      <c r="F94" s="41">
        <v>80</v>
      </c>
      <c r="G94" s="229">
        <v>4.84</v>
      </c>
      <c r="H94" s="230">
        <v>6.12</v>
      </c>
      <c r="I94" s="230">
        <v>10.96</v>
      </c>
      <c r="J94" s="42">
        <f t="shared" si="2"/>
        <v>876.8000000000001</v>
      </c>
    </row>
    <row r="95" spans="1:10" s="3" customFormat="1" ht="15.75">
      <c r="A95" s="273"/>
      <c r="B95" s="44" t="s">
        <v>178</v>
      </c>
      <c r="C95" s="212" t="s">
        <v>421</v>
      </c>
      <c r="D95" s="213" t="s">
        <v>422</v>
      </c>
      <c r="E95" s="44" t="s">
        <v>7</v>
      </c>
      <c r="F95" s="46">
        <v>80</v>
      </c>
      <c r="G95" s="214">
        <v>2.86</v>
      </c>
      <c r="H95" s="215">
        <v>7.93</v>
      </c>
      <c r="I95" s="215">
        <v>10.79</v>
      </c>
      <c r="J95" s="47">
        <f t="shared" si="2"/>
        <v>863.1999999999999</v>
      </c>
    </row>
    <row r="96" spans="1:10" s="12" customFormat="1" ht="15.75">
      <c r="A96" s="273"/>
      <c r="B96" s="44" t="s">
        <v>179</v>
      </c>
      <c r="C96" s="212" t="s">
        <v>423</v>
      </c>
      <c r="D96" s="213" t="s">
        <v>424</v>
      </c>
      <c r="E96" s="44" t="s">
        <v>7</v>
      </c>
      <c r="F96" s="46">
        <v>80</v>
      </c>
      <c r="G96" s="214">
        <v>3.66</v>
      </c>
      <c r="H96" s="215">
        <v>13.94</v>
      </c>
      <c r="I96" s="215">
        <v>17.6</v>
      </c>
      <c r="J96" s="47">
        <f t="shared" si="2"/>
        <v>1408</v>
      </c>
    </row>
    <row r="97" spans="1:10" s="12" customFormat="1" ht="47.25">
      <c r="A97" s="273"/>
      <c r="B97" s="44" t="s">
        <v>184</v>
      </c>
      <c r="C97" s="212" t="s">
        <v>425</v>
      </c>
      <c r="D97" s="45" t="s">
        <v>309</v>
      </c>
      <c r="E97" s="44" t="s">
        <v>7</v>
      </c>
      <c r="F97" s="46">
        <v>25</v>
      </c>
      <c r="G97" s="214">
        <v>11.68</v>
      </c>
      <c r="H97" s="215">
        <v>10.19</v>
      </c>
      <c r="I97" s="215">
        <v>21.87</v>
      </c>
      <c r="J97" s="47">
        <f>I97*F97</f>
        <v>546.75</v>
      </c>
    </row>
    <row r="98" spans="1:10" s="12" customFormat="1" ht="15.75">
      <c r="A98" s="273"/>
      <c r="B98" s="44" t="s">
        <v>310</v>
      </c>
      <c r="C98" s="212" t="s">
        <v>426</v>
      </c>
      <c r="D98" s="45" t="s">
        <v>312</v>
      </c>
      <c r="E98" s="44" t="s">
        <v>7</v>
      </c>
      <c r="F98" s="46">
        <v>25</v>
      </c>
      <c r="G98" s="214">
        <v>2.78</v>
      </c>
      <c r="H98" s="215">
        <v>7.76</v>
      </c>
      <c r="I98" s="215">
        <v>10.54</v>
      </c>
      <c r="J98" s="47">
        <f>I98*F98</f>
        <v>263.5</v>
      </c>
    </row>
    <row r="99" spans="1:10" s="12" customFormat="1" ht="16.5" thickBot="1">
      <c r="A99" s="274"/>
      <c r="B99" s="50"/>
      <c r="C99" s="50"/>
      <c r="D99" s="245"/>
      <c r="E99" s="50"/>
      <c r="F99" s="51"/>
      <c r="G99" s="275"/>
      <c r="H99" s="276"/>
      <c r="I99" s="51"/>
      <c r="J99" s="52"/>
    </row>
    <row r="100" spans="1:10" ht="39.75" customHeight="1" thickBot="1">
      <c r="A100" s="271"/>
      <c r="B100" s="154" t="s">
        <v>42</v>
      </c>
      <c r="C100" s="543" t="s">
        <v>185</v>
      </c>
      <c r="D100" s="543"/>
      <c r="E100" s="543"/>
      <c r="F100" s="543"/>
      <c r="G100" s="543"/>
      <c r="H100" s="543"/>
      <c r="I100" s="543"/>
      <c r="J100" s="544"/>
    </row>
    <row r="101" spans="1:10" s="12" customFormat="1" ht="47.25">
      <c r="A101" s="272"/>
      <c r="B101" s="39" t="s">
        <v>180</v>
      </c>
      <c r="C101" s="228" t="s">
        <v>427</v>
      </c>
      <c r="D101" s="82" t="s">
        <v>261</v>
      </c>
      <c r="E101" s="39" t="s">
        <v>7</v>
      </c>
      <c r="F101" s="41">
        <v>30</v>
      </c>
      <c r="G101" s="229">
        <v>4.72</v>
      </c>
      <c r="H101" s="230">
        <v>10.19</v>
      </c>
      <c r="I101" s="230">
        <v>14.91</v>
      </c>
      <c r="J101" s="42">
        <f t="shared" si="2"/>
        <v>447.3</v>
      </c>
    </row>
    <row r="102" spans="1:10" s="12" customFormat="1" ht="31.5">
      <c r="A102" s="273"/>
      <c r="B102" s="44" t="s">
        <v>181</v>
      </c>
      <c r="C102" s="212" t="s">
        <v>428</v>
      </c>
      <c r="D102" s="45" t="s">
        <v>51</v>
      </c>
      <c r="E102" s="44" t="s">
        <v>7</v>
      </c>
      <c r="F102" s="46">
        <v>26</v>
      </c>
      <c r="G102" s="214">
        <v>5.02</v>
      </c>
      <c r="H102" s="215">
        <v>11.61</v>
      </c>
      <c r="I102" s="215">
        <v>16.63</v>
      </c>
      <c r="J102" s="47">
        <f t="shared" si="2"/>
        <v>432.38</v>
      </c>
    </row>
    <row r="103" spans="1:10" s="12" customFormat="1" ht="15.75">
      <c r="A103" s="273"/>
      <c r="B103" s="44" t="s">
        <v>182</v>
      </c>
      <c r="C103" s="212" t="s">
        <v>429</v>
      </c>
      <c r="D103" s="45" t="s">
        <v>187</v>
      </c>
      <c r="E103" s="44" t="s">
        <v>7</v>
      </c>
      <c r="F103" s="46">
        <v>37</v>
      </c>
      <c r="G103" s="214">
        <v>5.02</v>
      </c>
      <c r="H103" s="215">
        <v>11.61</v>
      </c>
      <c r="I103" s="215">
        <v>16.63</v>
      </c>
      <c r="J103" s="47">
        <f t="shared" si="2"/>
        <v>615.31</v>
      </c>
    </row>
    <row r="104" spans="1:10" s="12" customFormat="1" ht="31.5">
      <c r="A104" s="273"/>
      <c r="B104" s="44" t="s">
        <v>183</v>
      </c>
      <c r="C104" s="212" t="s">
        <v>430</v>
      </c>
      <c r="D104" s="45" t="s">
        <v>52</v>
      </c>
      <c r="E104" s="44" t="s">
        <v>7</v>
      </c>
      <c r="F104" s="46">
        <v>560</v>
      </c>
      <c r="G104" s="214">
        <v>5.02</v>
      </c>
      <c r="H104" s="215">
        <v>11.61</v>
      </c>
      <c r="I104" s="215">
        <v>16.63</v>
      </c>
      <c r="J104" s="47">
        <f t="shared" si="2"/>
        <v>9312.8</v>
      </c>
    </row>
    <row r="105" spans="1:10" s="12" customFormat="1" ht="16.5" thickBot="1">
      <c r="A105" s="273"/>
      <c r="B105" s="44"/>
      <c r="C105" s="44"/>
      <c r="D105" s="240"/>
      <c r="E105" s="83"/>
      <c r="F105" s="57"/>
      <c r="G105" s="57"/>
      <c r="H105" s="57"/>
      <c r="I105" s="57"/>
      <c r="J105" s="277"/>
    </row>
    <row r="106" spans="1:10" s="12" customFormat="1" ht="16.5" thickBot="1">
      <c r="A106" s="273"/>
      <c r="B106" s="278"/>
      <c r="C106" s="279"/>
      <c r="D106" s="235" t="s">
        <v>62</v>
      </c>
      <c r="E106" s="87"/>
      <c r="F106" s="71"/>
      <c r="G106" s="71"/>
      <c r="H106" s="71"/>
      <c r="I106" s="71">
        <f aca="true" t="shared" si="3" ref="I106:I113">H106+G106</f>
        <v>0</v>
      </c>
      <c r="J106" s="78">
        <f>SUM(J94:J105)</f>
        <v>14766.039999999999</v>
      </c>
    </row>
    <row r="107" spans="1:10" s="3" customFormat="1" ht="16.5" thickBot="1">
      <c r="A107" s="274"/>
      <c r="B107" s="50"/>
      <c r="C107" s="50"/>
      <c r="D107" s="266"/>
      <c r="E107" s="280"/>
      <c r="F107" s="281"/>
      <c r="G107" s="281"/>
      <c r="H107" s="281"/>
      <c r="I107" s="138">
        <f t="shared" si="3"/>
        <v>0</v>
      </c>
      <c r="J107" s="282"/>
    </row>
    <row r="108" spans="1:10" ht="24.75" customHeight="1" thickBot="1">
      <c r="A108" s="271">
        <v>12</v>
      </c>
      <c r="B108" s="154"/>
      <c r="C108" s="154"/>
      <c r="D108" s="226" t="s">
        <v>21</v>
      </c>
      <c r="E108" s="154"/>
      <c r="F108" s="201"/>
      <c r="G108" s="201"/>
      <c r="H108" s="201"/>
      <c r="I108" s="201">
        <f t="shared" si="3"/>
        <v>0</v>
      </c>
      <c r="J108" s="202"/>
    </row>
    <row r="109" spans="1:10" ht="15.75">
      <c r="A109" s="272"/>
      <c r="B109" s="39" t="s">
        <v>20</v>
      </c>
      <c r="C109" s="228" t="s">
        <v>431</v>
      </c>
      <c r="D109" s="82" t="s">
        <v>186</v>
      </c>
      <c r="E109" s="283" t="s">
        <v>7</v>
      </c>
      <c r="F109" s="41">
        <v>300</v>
      </c>
      <c r="G109" s="229">
        <v>0</v>
      </c>
      <c r="H109" s="230">
        <v>10.26</v>
      </c>
      <c r="I109" s="230">
        <v>10.26</v>
      </c>
      <c r="J109" s="42">
        <f>I109*F109</f>
        <v>3078</v>
      </c>
    </row>
    <row r="110" spans="1:10" ht="31.5">
      <c r="A110" s="273"/>
      <c r="B110" s="44" t="s">
        <v>48</v>
      </c>
      <c r="C110" s="212" t="s">
        <v>432</v>
      </c>
      <c r="D110" s="45" t="s">
        <v>43</v>
      </c>
      <c r="E110" s="264" t="s">
        <v>7</v>
      </c>
      <c r="F110" s="46">
        <v>50</v>
      </c>
      <c r="G110" s="214">
        <v>0.39</v>
      </c>
      <c r="H110" s="215">
        <v>2.93</v>
      </c>
      <c r="I110" s="215">
        <v>3.32</v>
      </c>
      <c r="J110" s="47">
        <f>I110*F110</f>
        <v>166</v>
      </c>
    </row>
    <row r="111" spans="1:10" ht="15.75">
      <c r="A111" s="273"/>
      <c r="B111" s="44" t="s">
        <v>92</v>
      </c>
      <c r="C111" s="33" t="s">
        <v>433</v>
      </c>
      <c r="D111" s="45" t="s">
        <v>44</v>
      </c>
      <c r="E111" s="264" t="s">
        <v>7</v>
      </c>
      <c r="F111" s="46">
        <v>22</v>
      </c>
      <c r="G111" s="35">
        <v>0</v>
      </c>
      <c r="H111" s="36">
        <v>10.99</v>
      </c>
      <c r="I111" s="36">
        <v>10.99</v>
      </c>
      <c r="J111" s="47">
        <f>I111*F111</f>
        <v>241.78</v>
      </c>
    </row>
    <row r="112" spans="1:10" ht="16.5" thickBot="1">
      <c r="A112" s="273"/>
      <c r="B112" s="44"/>
      <c r="C112" s="44"/>
      <c r="D112" s="84"/>
      <c r="E112" s="265"/>
      <c r="F112" s="265"/>
      <c r="G112" s="265"/>
      <c r="H112" s="124"/>
      <c r="I112" s="57"/>
      <c r="J112" s="60"/>
    </row>
    <row r="113" spans="1:10" ht="16.5" thickBot="1">
      <c r="A113" s="273"/>
      <c r="B113" s="264"/>
      <c r="C113" s="284"/>
      <c r="D113" s="235" t="s">
        <v>63</v>
      </c>
      <c r="E113" s="287"/>
      <c r="F113" s="287"/>
      <c r="G113" s="287"/>
      <c r="H113" s="159"/>
      <c r="I113" s="71">
        <f t="shared" si="3"/>
        <v>0</v>
      </c>
      <c r="J113" s="288">
        <f>SUM(J109:J112)</f>
        <v>3485.78</v>
      </c>
    </row>
    <row r="114" spans="1:10" ht="16.5" thickBot="1">
      <c r="A114" s="274"/>
      <c r="B114" s="50"/>
      <c r="C114" s="50"/>
      <c r="D114" s="242"/>
      <c r="E114" s="285"/>
      <c r="F114" s="285"/>
      <c r="G114" s="285"/>
      <c r="H114" s="137"/>
      <c r="I114" s="138">
        <f aca="true" t="shared" si="4" ref="I114:I125">H114+G114</f>
        <v>0</v>
      </c>
      <c r="J114" s="286"/>
    </row>
    <row r="115" spans="1:10" ht="15.75">
      <c r="A115" s="557" t="s">
        <v>32</v>
      </c>
      <c r="B115" s="558"/>
      <c r="C115" s="558"/>
      <c r="D115" s="558"/>
      <c r="E115" s="289"/>
      <c r="F115" s="290"/>
      <c r="G115" s="290"/>
      <c r="H115" s="290"/>
      <c r="I115" s="290">
        <f t="shared" si="4"/>
        <v>0</v>
      </c>
      <c r="J115" s="95">
        <f>J113+J106+J90+J84+J78+J69+J62+J46+J39+J33+J21</f>
        <v>98136.9246</v>
      </c>
    </row>
    <row r="116" spans="1:10" ht="15.75">
      <c r="A116" s="537" t="s">
        <v>520</v>
      </c>
      <c r="B116" s="538"/>
      <c r="C116" s="538"/>
      <c r="D116" s="538"/>
      <c r="E116" s="289"/>
      <c r="F116" s="290"/>
      <c r="G116" s="290"/>
      <c r="H116" s="290"/>
      <c r="I116" s="290">
        <f t="shared" si="4"/>
        <v>0</v>
      </c>
      <c r="J116" s="182">
        <f>J115*0.3</f>
        <v>29441.07738</v>
      </c>
    </row>
    <row r="117" spans="1:10" ht="16.5" thickBot="1">
      <c r="A117" s="537" t="s">
        <v>45</v>
      </c>
      <c r="B117" s="538"/>
      <c r="C117" s="538"/>
      <c r="D117" s="538"/>
      <c r="E117" s="291"/>
      <c r="F117" s="292"/>
      <c r="G117" s="292"/>
      <c r="H117" s="292"/>
      <c r="I117" s="292">
        <f t="shared" si="4"/>
        <v>0</v>
      </c>
      <c r="J117" s="188">
        <f>SUM(J115:J116)</f>
        <v>127578.00198</v>
      </c>
    </row>
    <row r="118" spans="1:10" ht="12.75">
      <c r="A118" s="3"/>
      <c r="B118" s="2"/>
      <c r="C118" s="2"/>
      <c r="E118" s="2"/>
      <c r="F118" s="2"/>
      <c r="G118" s="2"/>
      <c r="H118" s="13"/>
      <c r="I118" s="6">
        <f t="shared" si="4"/>
        <v>0</v>
      </c>
      <c r="J118" s="2"/>
    </row>
    <row r="119" spans="1:10" ht="12.75">
      <c r="A119" s="3"/>
      <c r="B119" s="2"/>
      <c r="C119" s="2"/>
      <c r="E119" s="2"/>
      <c r="F119" s="2"/>
      <c r="G119" s="2"/>
      <c r="H119" s="13"/>
      <c r="I119" s="6">
        <f t="shared" si="4"/>
        <v>0</v>
      </c>
      <c r="J119" s="2"/>
    </row>
    <row r="120" spans="1:10" ht="12.75">
      <c r="A120" s="3"/>
      <c r="B120" s="2"/>
      <c r="C120" s="2"/>
      <c r="E120" s="2"/>
      <c r="F120" s="2"/>
      <c r="G120" s="2"/>
      <c r="H120" s="13"/>
      <c r="I120" s="6">
        <f t="shared" si="4"/>
        <v>0</v>
      </c>
      <c r="J120" s="2"/>
    </row>
    <row r="121" ht="12.75">
      <c r="I121" s="6">
        <f t="shared" si="4"/>
        <v>0</v>
      </c>
    </row>
    <row r="122" ht="12.75">
      <c r="I122" s="6">
        <f t="shared" si="4"/>
        <v>0</v>
      </c>
    </row>
    <row r="123" ht="12.75">
      <c r="I123" s="6">
        <f t="shared" si="4"/>
        <v>0</v>
      </c>
    </row>
    <row r="124" ht="12.75">
      <c r="I124" s="6">
        <f t="shared" si="4"/>
        <v>0</v>
      </c>
    </row>
    <row r="125" ht="12.75">
      <c r="I125" s="6">
        <f t="shared" si="4"/>
        <v>0</v>
      </c>
    </row>
    <row r="126" ht="12.75">
      <c r="I126" s="6">
        <f aca="true" t="shared" si="5" ref="I126:I133">H126+G126</f>
        <v>0</v>
      </c>
    </row>
    <row r="127" ht="12.75">
      <c r="I127" s="6">
        <f t="shared" si="5"/>
        <v>0</v>
      </c>
    </row>
    <row r="128" ht="12.75">
      <c r="I128" s="6">
        <f t="shared" si="5"/>
        <v>0</v>
      </c>
    </row>
    <row r="129" ht="12.75">
      <c r="I129" s="6">
        <f t="shared" si="5"/>
        <v>0</v>
      </c>
    </row>
    <row r="130" ht="12.75">
      <c r="I130" s="6">
        <f t="shared" si="5"/>
        <v>0</v>
      </c>
    </row>
    <row r="131" ht="12.75">
      <c r="I131" s="6">
        <f t="shared" si="5"/>
        <v>0</v>
      </c>
    </row>
    <row r="132" ht="12.75">
      <c r="I132" s="6">
        <f t="shared" si="5"/>
        <v>0</v>
      </c>
    </row>
    <row r="133" ht="12.75">
      <c r="I133" s="6">
        <f t="shared" si="5"/>
        <v>0</v>
      </c>
    </row>
  </sheetData>
  <sheetProtection/>
  <mergeCells count="19">
    <mergeCell ref="A117:D117"/>
    <mergeCell ref="C86:J86"/>
    <mergeCell ref="C92:J92"/>
    <mergeCell ref="C93:J93"/>
    <mergeCell ref="C100:J100"/>
    <mergeCell ref="A115:D115"/>
    <mergeCell ref="A116:D116"/>
    <mergeCell ref="C48:J48"/>
    <mergeCell ref="C50:J50"/>
    <mergeCell ref="C55:J55"/>
    <mergeCell ref="C64:J64"/>
    <mergeCell ref="C71:J71"/>
    <mergeCell ref="C80:J80"/>
    <mergeCell ref="A2:J2"/>
    <mergeCell ref="C3:J3"/>
    <mergeCell ref="C12:J12"/>
    <mergeCell ref="C23:J23"/>
    <mergeCell ref="C35:J35"/>
    <mergeCell ref="C41:J41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fitToWidth="1" horizontalDpi="300" verticalDpi="300" orientation="portrait" paperSize="9" scale="56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  <rowBreaks count="2" manualBreakCount="2">
    <brk id="37" max="9" man="1"/>
    <brk id="8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1:J54"/>
  <sheetViews>
    <sheetView showZeros="0" view="pageBreakPreview" zoomScale="95" zoomScaleSheetLayoutView="95" workbookViewId="0" topLeftCell="A18">
      <selection activeCell="H45" sqref="H45"/>
    </sheetView>
  </sheetViews>
  <sheetFormatPr defaultColWidth="9.140625" defaultRowHeight="12.75"/>
  <cols>
    <col min="1" max="1" width="5.7109375" style="296" customWidth="1"/>
    <col min="2" max="2" width="8.7109375" style="296" customWidth="1"/>
    <col min="3" max="3" width="13.7109375" style="300" customWidth="1"/>
    <col min="4" max="4" width="63.7109375" style="298" customWidth="1"/>
    <col min="5" max="5" width="6.7109375" style="300" customWidth="1"/>
    <col min="6" max="6" width="10.7109375" style="299" customWidth="1"/>
    <col min="7" max="9" width="11.7109375" style="299" customWidth="1"/>
    <col min="10" max="10" width="15.7109375" style="299" customWidth="1"/>
    <col min="11" max="16384" width="9.140625" style="297" customWidth="1"/>
  </cols>
  <sheetData>
    <row r="1" spans="1:10" s="296" customFormat="1" ht="32.25" thickBot="1">
      <c r="A1" s="96" t="s">
        <v>0</v>
      </c>
      <c r="B1" s="97" t="s">
        <v>1</v>
      </c>
      <c r="C1" s="97" t="s">
        <v>321</v>
      </c>
      <c r="D1" s="98" t="s">
        <v>69</v>
      </c>
      <c r="E1" s="97" t="s">
        <v>2</v>
      </c>
      <c r="F1" s="293" t="s">
        <v>3</v>
      </c>
      <c r="G1" s="293" t="s">
        <v>22</v>
      </c>
      <c r="H1" s="293" t="s">
        <v>23</v>
      </c>
      <c r="I1" s="293" t="s">
        <v>71</v>
      </c>
      <c r="J1" s="294" t="s">
        <v>38</v>
      </c>
    </row>
    <row r="2" spans="1:10" s="296" customFormat="1" ht="27.75" customHeight="1" thickBot="1">
      <c r="A2" s="525" t="s">
        <v>510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ht="24.75" customHeight="1" thickBot="1">
      <c r="A3" s="108">
        <v>1</v>
      </c>
      <c r="B3" s="109"/>
      <c r="C3" s="543" t="s">
        <v>313</v>
      </c>
      <c r="D3" s="543"/>
      <c r="E3" s="543"/>
      <c r="F3" s="543"/>
      <c r="G3" s="543"/>
      <c r="H3" s="543"/>
      <c r="I3" s="543"/>
      <c r="J3" s="544"/>
    </row>
    <row r="4" spans="1:10" ht="31.5">
      <c r="A4" s="38"/>
      <c r="B4" s="203" t="s">
        <v>4</v>
      </c>
      <c r="C4" s="228" t="s">
        <v>434</v>
      </c>
      <c r="D4" s="82" t="s">
        <v>314</v>
      </c>
      <c r="E4" s="39" t="s">
        <v>13</v>
      </c>
      <c r="F4" s="41">
        <v>8</v>
      </c>
      <c r="G4" s="229">
        <v>14.24</v>
      </c>
      <c r="H4" s="230">
        <v>21.62</v>
      </c>
      <c r="I4" s="230">
        <v>35.86</v>
      </c>
      <c r="J4" s="42">
        <f>I4*F4</f>
        <v>286.88</v>
      </c>
    </row>
    <row r="5" spans="1:10" ht="15.75">
      <c r="A5" s="43"/>
      <c r="B5" s="48" t="s">
        <v>30</v>
      </c>
      <c r="C5" s="212" t="s">
        <v>350</v>
      </c>
      <c r="D5" s="45" t="s">
        <v>315</v>
      </c>
      <c r="E5" s="44" t="s">
        <v>13</v>
      </c>
      <c r="F5" s="46">
        <v>100</v>
      </c>
      <c r="G5" s="214">
        <v>15.2</v>
      </c>
      <c r="H5" s="215">
        <v>3.6</v>
      </c>
      <c r="I5" s="215">
        <v>18.8</v>
      </c>
      <c r="J5" s="47">
        <f>I5*F5</f>
        <v>1880</v>
      </c>
    </row>
    <row r="6" spans="1:10" ht="31.5">
      <c r="A6" s="43"/>
      <c r="B6" s="48" t="s">
        <v>29</v>
      </c>
      <c r="C6" s="212" t="s">
        <v>435</v>
      </c>
      <c r="D6" s="45" t="s">
        <v>316</v>
      </c>
      <c r="E6" s="44" t="s">
        <v>131</v>
      </c>
      <c r="F6" s="46">
        <v>1</v>
      </c>
      <c r="G6" s="214">
        <v>27.26</v>
      </c>
      <c r="H6" s="215">
        <v>21.62</v>
      </c>
      <c r="I6" s="215">
        <v>48.88</v>
      </c>
      <c r="J6" s="47">
        <f>I6*F6</f>
        <v>48.88</v>
      </c>
    </row>
    <row r="7" spans="1:10" ht="12.75" customHeight="1" thickBot="1">
      <c r="A7" s="43"/>
      <c r="B7" s="48"/>
      <c r="C7" s="44"/>
      <c r="D7" s="84"/>
      <c r="E7" s="83"/>
      <c r="F7" s="57"/>
      <c r="G7" s="57"/>
      <c r="H7" s="57"/>
      <c r="I7" s="57">
        <f>H7+G7</f>
        <v>0</v>
      </c>
      <c r="J7" s="60"/>
    </row>
    <row r="8" spans="1:10" ht="16.5" thickBot="1">
      <c r="A8" s="43"/>
      <c r="B8" s="48"/>
      <c r="C8" s="125"/>
      <c r="D8" s="235" t="s">
        <v>57</v>
      </c>
      <c r="E8" s="70"/>
      <c r="F8" s="75"/>
      <c r="G8" s="128"/>
      <c r="H8" s="128"/>
      <c r="I8" s="71">
        <f>H8+G8</f>
        <v>0</v>
      </c>
      <c r="J8" s="78">
        <f>SUM(J3:J6)</f>
        <v>2215.76</v>
      </c>
    </row>
    <row r="9" spans="1:10" ht="16.5" thickBot="1">
      <c r="A9" s="49"/>
      <c r="B9" s="225"/>
      <c r="C9" s="50"/>
      <c r="D9" s="241"/>
      <c r="E9" s="134"/>
      <c r="F9" s="138"/>
      <c r="G9" s="136"/>
      <c r="H9" s="136"/>
      <c r="I9" s="138">
        <f>H9+G9</f>
        <v>0</v>
      </c>
      <c r="J9" s="282"/>
    </row>
    <row r="10" spans="1:10" ht="24.75" customHeight="1" thickBot="1">
      <c r="A10" s="216">
        <v>2</v>
      </c>
      <c r="B10" s="252"/>
      <c r="C10" s="551" t="s">
        <v>188</v>
      </c>
      <c r="D10" s="551"/>
      <c r="E10" s="551"/>
      <c r="F10" s="551"/>
      <c r="G10" s="551"/>
      <c r="H10" s="551"/>
      <c r="I10" s="551"/>
      <c r="J10" s="552"/>
    </row>
    <row r="11" spans="1:10" ht="31.5">
      <c r="A11" s="61"/>
      <c r="B11" s="62" t="s">
        <v>25</v>
      </c>
      <c r="C11" s="218" t="s">
        <v>436</v>
      </c>
      <c r="D11" s="86" t="s">
        <v>189</v>
      </c>
      <c r="E11" s="85" t="s">
        <v>13</v>
      </c>
      <c r="F11" s="65">
        <v>18</v>
      </c>
      <c r="G11" s="220">
        <v>4.23</v>
      </c>
      <c r="H11" s="221">
        <v>18.02</v>
      </c>
      <c r="I11" s="221">
        <v>22.25</v>
      </c>
      <c r="J11" s="68">
        <f aca="true" t="shared" si="0" ref="J11:J18">I11*F11</f>
        <v>400.5</v>
      </c>
    </row>
    <row r="12" spans="1:10" ht="31.5">
      <c r="A12" s="43"/>
      <c r="B12" s="48" t="s">
        <v>26</v>
      </c>
      <c r="C12" s="212" t="s">
        <v>348</v>
      </c>
      <c r="D12" s="45" t="s">
        <v>68</v>
      </c>
      <c r="E12" s="44" t="s">
        <v>13</v>
      </c>
      <c r="F12" s="46">
        <v>6</v>
      </c>
      <c r="G12" s="214">
        <v>9.34</v>
      </c>
      <c r="H12" s="215">
        <v>18.02</v>
      </c>
      <c r="I12" s="215">
        <v>27.36</v>
      </c>
      <c r="J12" s="47">
        <f t="shared" si="0"/>
        <v>164.16</v>
      </c>
    </row>
    <row r="13" spans="1:10" ht="31.5">
      <c r="A13" s="43"/>
      <c r="B13" s="48" t="s">
        <v>27</v>
      </c>
      <c r="C13" s="212" t="s">
        <v>437</v>
      </c>
      <c r="D13" s="45" t="s">
        <v>190</v>
      </c>
      <c r="E13" s="44" t="s">
        <v>13</v>
      </c>
      <c r="F13" s="46">
        <v>6</v>
      </c>
      <c r="G13" s="214">
        <v>13.66</v>
      </c>
      <c r="H13" s="215">
        <v>18.02</v>
      </c>
      <c r="I13" s="215">
        <v>31.68</v>
      </c>
      <c r="J13" s="47">
        <f t="shared" si="0"/>
        <v>190.07999999999998</v>
      </c>
    </row>
    <row r="14" spans="1:10" ht="47.25">
      <c r="A14" s="43"/>
      <c r="B14" s="48" t="s">
        <v>77</v>
      </c>
      <c r="C14" s="212" t="s">
        <v>438</v>
      </c>
      <c r="D14" s="45" t="s">
        <v>191</v>
      </c>
      <c r="E14" s="44" t="s">
        <v>131</v>
      </c>
      <c r="F14" s="46">
        <v>1</v>
      </c>
      <c r="G14" s="214">
        <v>52.82</v>
      </c>
      <c r="H14" s="215">
        <v>16.22</v>
      </c>
      <c r="I14" s="215">
        <v>69.04</v>
      </c>
      <c r="J14" s="47">
        <f t="shared" si="0"/>
        <v>69.04</v>
      </c>
    </row>
    <row r="15" spans="1:10" ht="31.5">
      <c r="A15" s="43"/>
      <c r="B15" s="48" t="s">
        <v>156</v>
      </c>
      <c r="C15" s="212" t="s">
        <v>439</v>
      </c>
      <c r="D15" s="45" t="s">
        <v>318</v>
      </c>
      <c r="E15" s="44" t="s">
        <v>131</v>
      </c>
      <c r="F15" s="46">
        <v>2</v>
      </c>
      <c r="G15" s="214">
        <v>62.45</v>
      </c>
      <c r="H15" s="215">
        <v>16.22</v>
      </c>
      <c r="I15" s="215">
        <v>78.67</v>
      </c>
      <c r="J15" s="47">
        <f t="shared" si="0"/>
        <v>157.34</v>
      </c>
    </row>
    <row r="16" spans="1:10" ht="31.5">
      <c r="A16" s="43"/>
      <c r="B16" s="48" t="s">
        <v>157</v>
      </c>
      <c r="C16" s="212" t="s">
        <v>440</v>
      </c>
      <c r="D16" s="45" t="s">
        <v>317</v>
      </c>
      <c r="E16" s="44" t="s">
        <v>131</v>
      </c>
      <c r="F16" s="46">
        <v>2</v>
      </c>
      <c r="G16" s="214">
        <v>43.99</v>
      </c>
      <c r="H16" s="215">
        <v>32.44</v>
      </c>
      <c r="I16" s="215">
        <v>76.43</v>
      </c>
      <c r="J16" s="47">
        <f t="shared" si="0"/>
        <v>152.86</v>
      </c>
    </row>
    <row r="17" spans="1:10" ht="15.75">
      <c r="A17" s="43"/>
      <c r="B17" s="48" t="s">
        <v>158</v>
      </c>
      <c r="C17" s="212" t="s">
        <v>441</v>
      </c>
      <c r="D17" s="167" t="s">
        <v>192</v>
      </c>
      <c r="E17" s="44" t="s">
        <v>131</v>
      </c>
      <c r="F17" s="46">
        <v>1</v>
      </c>
      <c r="G17" s="214">
        <v>45.72</v>
      </c>
      <c r="H17" s="215">
        <v>10.81</v>
      </c>
      <c r="I17" s="215">
        <v>56.53</v>
      </c>
      <c r="J17" s="47">
        <f t="shared" si="0"/>
        <v>56.53</v>
      </c>
    </row>
    <row r="18" spans="1:10" ht="15.75">
      <c r="A18" s="43"/>
      <c r="B18" s="48" t="s">
        <v>193</v>
      </c>
      <c r="C18" s="33" t="s">
        <v>442</v>
      </c>
      <c r="D18" s="45" t="s">
        <v>194</v>
      </c>
      <c r="E18" s="44" t="s">
        <v>131</v>
      </c>
      <c r="F18" s="46">
        <v>1</v>
      </c>
      <c r="G18" s="35">
        <v>237.4</v>
      </c>
      <c r="H18" s="36">
        <v>36.04</v>
      </c>
      <c r="I18" s="36">
        <v>273.44</v>
      </c>
      <c r="J18" s="47">
        <f t="shared" si="0"/>
        <v>273.44</v>
      </c>
    </row>
    <row r="19" spans="1:10" ht="16.5" thickBot="1">
      <c r="A19" s="43"/>
      <c r="B19" s="48"/>
      <c r="C19" s="44"/>
      <c r="D19" s="237"/>
      <c r="E19" s="83"/>
      <c r="F19" s="57"/>
      <c r="G19" s="123"/>
      <c r="H19" s="123"/>
      <c r="I19" s="57">
        <f>H19+G19</f>
        <v>0</v>
      </c>
      <c r="J19" s="60"/>
    </row>
    <row r="20" spans="1:10" ht="16.5" thickBot="1">
      <c r="A20" s="43"/>
      <c r="B20" s="48"/>
      <c r="C20" s="125"/>
      <c r="D20" s="235" t="s">
        <v>56</v>
      </c>
      <c r="E20" s="70"/>
      <c r="F20" s="75"/>
      <c r="G20" s="128"/>
      <c r="H20" s="128"/>
      <c r="I20" s="71">
        <f>H20+G20</f>
        <v>0</v>
      </c>
      <c r="J20" s="78">
        <f>SUM(J11:J18)</f>
        <v>1463.95</v>
      </c>
    </row>
    <row r="21" spans="1:10" ht="16.5" thickBot="1">
      <c r="A21" s="49"/>
      <c r="B21" s="225"/>
      <c r="C21" s="50"/>
      <c r="D21" s="242"/>
      <c r="E21" s="134"/>
      <c r="F21" s="138"/>
      <c r="G21" s="136"/>
      <c r="H21" s="136"/>
      <c r="I21" s="138">
        <f>H21+G21</f>
        <v>0</v>
      </c>
      <c r="J21" s="139"/>
    </row>
    <row r="22" spans="1:10" ht="24.75" customHeight="1">
      <c r="A22" s="243">
        <v>3</v>
      </c>
      <c r="B22" s="311"/>
      <c r="C22" s="244"/>
      <c r="D22" s="258" t="s">
        <v>195</v>
      </c>
      <c r="E22" s="244"/>
      <c r="F22" s="253"/>
      <c r="G22" s="253"/>
      <c r="H22" s="253"/>
      <c r="I22" s="253">
        <f>H22+G22</f>
        <v>0</v>
      </c>
      <c r="J22" s="254">
        <f aca="true" t="shared" si="1" ref="J22:J28">I22*F22</f>
        <v>0</v>
      </c>
    </row>
    <row r="23" spans="1:10" ht="31.5">
      <c r="A23" s="43"/>
      <c r="B23" s="48" t="s">
        <v>8</v>
      </c>
      <c r="C23" s="33" t="s">
        <v>443</v>
      </c>
      <c r="D23" s="45" t="s">
        <v>196</v>
      </c>
      <c r="E23" s="44" t="s">
        <v>131</v>
      </c>
      <c r="F23" s="46">
        <v>1</v>
      </c>
      <c r="G23" s="35">
        <v>279.04</v>
      </c>
      <c r="H23" s="36">
        <v>13.65</v>
      </c>
      <c r="I23" s="36">
        <v>292.69</v>
      </c>
      <c r="J23" s="47">
        <f t="shared" si="1"/>
        <v>292.69</v>
      </c>
    </row>
    <row r="24" spans="1:10" ht="31.5">
      <c r="A24" s="43"/>
      <c r="B24" s="48" t="s">
        <v>46</v>
      </c>
      <c r="C24" s="33" t="s">
        <v>443</v>
      </c>
      <c r="D24" s="45" t="s">
        <v>197</v>
      </c>
      <c r="E24" s="44" t="s">
        <v>131</v>
      </c>
      <c r="F24" s="46">
        <v>1</v>
      </c>
      <c r="G24" s="35">
        <v>279.04</v>
      </c>
      <c r="H24" s="36">
        <v>13.65</v>
      </c>
      <c r="I24" s="36">
        <v>292.69</v>
      </c>
      <c r="J24" s="47">
        <f t="shared" si="1"/>
        <v>292.69</v>
      </c>
    </row>
    <row r="25" spans="1:10" ht="15.75">
      <c r="A25" s="43"/>
      <c r="B25" s="48" t="s">
        <v>53</v>
      </c>
      <c r="C25" s="33" t="s">
        <v>444</v>
      </c>
      <c r="D25" s="45" t="s">
        <v>198</v>
      </c>
      <c r="E25" s="44" t="s">
        <v>131</v>
      </c>
      <c r="F25" s="224">
        <v>3</v>
      </c>
      <c r="G25" s="35">
        <v>22.65</v>
      </c>
      <c r="H25" s="36">
        <v>12.56</v>
      </c>
      <c r="I25" s="36">
        <v>35.21</v>
      </c>
      <c r="J25" s="47">
        <f t="shared" si="1"/>
        <v>105.63</v>
      </c>
    </row>
    <row r="26" spans="1:10" ht="15.75">
      <c r="A26" s="43"/>
      <c r="B26" s="48" t="s">
        <v>54</v>
      </c>
      <c r="C26" s="33" t="s">
        <v>445</v>
      </c>
      <c r="D26" s="302" t="s">
        <v>199</v>
      </c>
      <c r="E26" s="44" t="s">
        <v>131</v>
      </c>
      <c r="F26" s="224">
        <v>1</v>
      </c>
      <c r="G26" s="35">
        <v>25.91</v>
      </c>
      <c r="H26" s="36">
        <v>4.35</v>
      </c>
      <c r="I26" s="36">
        <v>30.26</v>
      </c>
      <c r="J26" s="47">
        <f t="shared" si="1"/>
        <v>30.26</v>
      </c>
    </row>
    <row r="27" spans="1:10" ht="15.75">
      <c r="A27" s="43"/>
      <c r="B27" s="48" t="s">
        <v>55</v>
      </c>
      <c r="C27" s="33" t="s">
        <v>446</v>
      </c>
      <c r="D27" s="302" t="s">
        <v>200</v>
      </c>
      <c r="E27" s="44" t="s">
        <v>131</v>
      </c>
      <c r="F27" s="224">
        <v>1</v>
      </c>
      <c r="G27" s="35">
        <v>23.56</v>
      </c>
      <c r="H27" s="36">
        <v>4.35</v>
      </c>
      <c r="I27" s="36">
        <v>27.91</v>
      </c>
      <c r="J27" s="47">
        <f t="shared" si="1"/>
        <v>27.91</v>
      </c>
    </row>
    <row r="28" spans="1:10" ht="31.5">
      <c r="A28" s="43"/>
      <c r="B28" s="48" t="s">
        <v>113</v>
      </c>
      <c r="C28" s="33" t="s">
        <v>446</v>
      </c>
      <c r="D28" s="302" t="s">
        <v>201</v>
      </c>
      <c r="E28" s="44" t="s">
        <v>131</v>
      </c>
      <c r="F28" s="224">
        <v>1</v>
      </c>
      <c r="G28" s="35">
        <v>23.56</v>
      </c>
      <c r="H28" s="36">
        <v>4.35</v>
      </c>
      <c r="I28" s="36">
        <v>27.91</v>
      </c>
      <c r="J28" s="47">
        <f t="shared" si="1"/>
        <v>27.91</v>
      </c>
    </row>
    <row r="29" spans="1:10" ht="16.5" thickBot="1">
      <c r="A29" s="43"/>
      <c r="B29" s="48"/>
      <c r="C29" s="44"/>
      <c r="D29" s="303"/>
      <c r="E29" s="83"/>
      <c r="F29" s="238"/>
      <c r="G29" s="57"/>
      <c r="H29" s="57"/>
      <c r="I29" s="57"/>
      <c r="J29" s="60"/>
    </row>
    <row r="30" spans="1:10" ht="16.5" thickBot="1">
      <c r="A30" s="43"/>
      <c r="B30" s="48"/>
      <c r="C30" s="125"/>
      <c r="D30" s="235" t="s">
        <v>59</v>
      </c>
      <c r="E30" s="70"/>
      <c r="F30" s="75"/>
      <c r="G30" s="75"/>
      <c r="H30" s="75"/>
      <c r="I30" s="71">
        <f>H30+G30</f>
        <v>0</v>
      </c>
      <c r="J30" s="78">
        <f>SUM(J23:J28)</f>
        <v>777.0899999999999</v>
      </c>
    </row>
    <row r="31" spans="1:10" ht="16.5" thickBot="1">
      <c r="A31" s="49"/>
      <c r="B31" s="225"/>
      <c r="C31" s="50"/>
      <c r="D31" s="285"/>
      <c r="E31" s="285"/>
      <c r="F31" s="285"/>
      <c r="G31" s="285"/>
      <c r="H31" s="285"/>
      <c r="I31" s="138">
        <f aca="true" t="shared" si="2" ref="I31:I54">H31+G31</f>
        <v>0</v>
      </c>
      <c r="J31" s="286"/>
    </row>
    <row r="32" spans="1:10" ht="15.75">
      <c r="A32" s="557" t="s">
        <v>32</v>
      </c>
      <c r="B32" s="558"/>
      <c r="C32" s="558"/>
      <c r="D32" s="558"/>
      <c r="E32" s="289"/>
      <c r="F32" s="290"/>
      <c r="G32" s="290"/>
      <c r="H32" s="290"/>
      <c r="I32" s="290">
        <f t="shared" si="2"/>
        <v>0</v>
      </c>
      <c r="J32" s="95">
        <f>J30+J20+J8</f>
        <v>4456.8</v>
      </c>
    </row>
    <row r="33" spans="1:10" ht="15.75">
      <c r="A33" s="537" t="s">
        <v>520</v>
      </c>
      <c r="B33" s="538"/>
      <c r="C33" s="538"/>
      <c r="D33" s="538"/>
      <c r="E33" s="289"/>
      <c r="F33" s="290"/>
      <c r="G33" s="290"/>
      <c r="H33" s="290"/>
      <c r="I33" s="290">
        <f t="shared" si="2"/>
        <v>0</v>
      </c>
      <c r="J33" s="182">
        <f>J32*0.3</f>
        <v>1337.04</v>
      </c>
    </row>
    <row r="34" spans="1:10" ht="16.5" thickBot="1">
      <c r="A34" s="537" t="s">
        <v>45</v>
      </c>
      <c r="B34" s="538"/>
      <c r="C34" s="538"/>
      <c r="D34" s="538"/>
      <c r="E34" s="291"/>
      <c r="F34" s="292"/>
      <c r="G34" s="292"/>
      <c r="H34" s="292"/>
      <c r="I34" s="292">
        <f t="shared" si="2"/>
        <v>0</v>
      </c>
      <c r="J34" s="188">
        <f>SUM(J32:J33)</f>
        <v>5793.84</v>
      </c>
    </row>
    <row r="35" spans="1:10" ht="15.75">
      <c r="A35" s="28"/>
      <c r="B35" s="37"/>
      <c r="C35" s="29"/>
      <c r="D35" s="297"/>
      <c r="E35" s="297"/>
      <c r="F35" s="297"/>
      <c r="G35" s="297"/>
      <c r="H35" s="297"/>
      <c r="I35" s="31">
        <f t="shared" si="2"/>
        <v>0</v>
      </c>
      <c r="J35" s="297"/>
    </row>
    <row r="36" spans="1:10" ht="15.75">
      <c r="A36" s="28"/>
      <c r="B36" s="37"/>
      <c r="C36" s="29"/>
      <c r="D36" s="297"/>
      <c r="E36" s="297"/>
      <c r="F36" s="297"/>
      <c r="G36" s="297"/>
      <c r="H36" s="297"/>
      <c r="I36" s="31">
        <f t="shared" si="2"/>
        <v>0</v>
      </c>
      <c r="J36" s="297"/>
    </row>
    <row r="37" spans="1:10" ht="15.75">
      <c r="A37" s="28"/>
      <c r="B37" s="37"/>
      <c r="C37" s="29"/>
      <c r="D37" s="297"/>
      <c r="E37" s="297"/>
      <c r="F37" s="297"/>
      <c r="G37" s="297"/>
      <c r="H37" s="297"/>
      <c r="I37" s="31">
        <f t="shared" si="2"/>
        <v>0</v>
      </c>
      <c r="J37" s="297"/>
    </row>
    <row r="38" spans="1:10" ht="15.75">
      <c r="A38" s="28"/>
      <c r="B38" s="37"/>
      <c r="C38" s="29"/>
      <c r="E38" s="297"/>
      <c r="F38" s="297"/>
      <c r="G38" s="297"/>
      <c r="H38" s="297"/>
      <c r="I38" s="31">
        <f t="shared" si="2"/>
        <v>0</v>
      </c>
      <c r="J38" s="297"/>
    </row>
    <row r="39" spans="1:10" ht="15.75">
      <c r="A39" s="301"/>
      <c r="B39" s="301"/>
      <c r="C39" s="297"/>
      <c r="E39" s="297"/>
      <c r="F39" s="297"/>
      <c r="G39" s="297"/>
      <c r="H39" s="297"/>
      <c r="I39" s="31">
        <f t="shared" si="2"/>
        <v>0</v>
      </c>
      <c r="J39" s="297"/>
    </row>
    <row r="40" spans="1:10" ht="15.75">
      <c r="A40" s="301"/>
      <c r="B40" s="301"/>
      <c r="C40" s="297"/>
      <c r="E40" s="297"/>
      <c r="F40" s="297"/>
      <c r="G40" s="297"/>
      <c r="H40" s="297"/>
      <c r="I40" s="31">
        <f t="shared" si="2"/>
        <v>0</v>
      </c>
      <c r="J40" s="297"/>
    </row>
    <row r="41" spans="1:10" ht="15.75">
      <c r="A41" s="301"/>
      <c r="B41" s="301"/>
      <c r="C41" s="297"/>
      <c r="E41" s="297"/>
      <c r="F41" s="297"/>
      <c r="G41" s="297"/>
      <c r="H41" s="297"/>
      <c r="I41" s="31">
        <f t="shared" si="2"/>
        <v>0</v>
      </c>
      <c r="J41" s="297"/>
    </row>
    <row r="42" ht="15.75">
      <c r="I42" s="31">
        <f t="shared" si="2"/>
        <v>0</v>
      </c>
    </row>
    <row r="43" ht="15.75">
      <c r="I43" s="31">
        <f t="shared" si="2"/>
        <v>0</v>
      </c>
    </row>
    <row r="44" ht="15.75">
      <c r="I44" s="31">
        <f t="shared" si="2"/>
        <v>0</v>
      </c>
    </row>
    <row r="45" ht="15.75">
      <c r="I45" s="31">
        <f t="shared" si="2"/>
        <v>0</v>
      </c>
    </row>
    <row r="46" ht="15.75">
      <c r="I46" s="31">
        <f t="shared" si="2"/>
        <v>0</v>
      </c>
    </row>
    <row r="47" ht="15.75">
      <c r="I47" s="31">
        <f t="shared" si="2"/>
        <v>0</v>
      </c>
    </row>
    <row r="48" ht="15.75">
      <c r="I48" s="31">
        <f t="shared" si="2"/>
        <v>0</v>
      </c>
    </row>
    <row r="49" ht="15.75">
      <c r="I49" s="31">
        <f t="shared" si="2"/>
        <v>0</v>
      </c>
    </row>
    <row r="50" ht="15.75">
      <c r="I50" s="31">
        <f t="shared" si="2"/>
        <v>0</v>
      </c>
    </row>
    <row r="51" ht="15.75">
      <c r="I51" s="31">
        <f t="shared" si="2"/>
        <v>0</v>
      </c>
    </row>
    <row r="52" ht="15.75">
      <c r="I52" s="31">
        <f t="shared" si="2"/>
        <v>0</v>
      </c>
    </row>
    <row r="53" ht="15.75">
      <c r="I53" s="31">
        <f t="shared" si="2"/>
        <v>0</v>
      </c>
    </row>
    <row r="54" ht="15.75">
      <c r="I54" s="31">
        <f t="shared" si="2"/>
        <v>0</v>
      </c>
    </row>
  </sheetData>
  <sheetProtection/>
  <mergeCells count="6">
    <mergeCell ref="C3:J3"/>
    <mergeCell ref="C10:J10"/>
    <mergeCell ref="A32:D32"/>
    <mergeCell ref="A33:D33"/>
    <mergeCell ref="A34:D34"/>
    <mergeCell ref="A2:J2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horizontalDpi="300" verticalDpi="300" orientation="portrait" paperSize="9" scale="58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1:M30"/>
  <sheetViews>
    <sheetView showZeros="0" view="pageBreakPreview" zoomScale="90" zoomScaleSheetLayoutView="90" workbookViewId="0" topLeftCell="A12">
      <selection activeCell="H45" sqref="H45"/>
    </sheetView>
  </sheetViews>
  <sheetFormatPr defaultColWidth="9.140625" defaultRowHeight="12.75"/>
  <cols>
    <col min="1" max="1" width="5.7109375" style="296" customWidth="1"/>
    <col min="2" max="2" width="8.7109375" style="296" customWidth="1"/>
    <col min="3" max="3" width="14.421875" style="300" customWidth="1"/>
    <col min="4" max="4" width="63.7109375" style="298" customWidth="1"/>
    <col min="5" max="5" width="6.7109375" style="300" customWidth="1"/>
    <col min="6" max="6" width="10.7109375" style="299" customWidth="1"/>
    <col min="7" max="9" width="11.7109375" style="299" customWidth="1"/>
    <col min="10" max="10" width="15.7109375" style="299" customWidth="1"/>
    <col min="11" max="16384" width="9.140625" style="297" customWidth="1"/>
  </cols>
  <sheetData>
    <row r="1" spans="1:10" s="296" customFormat="1" ht="32.25" thickBot="1">
      <c r="A1" s="96" t="s">
        <v>0</v>
      </c>
      <c r="B1" s="97" t="s">
        <v>1</v>
      </c>
      <c r="C1" s="97" t="s">
        <v>321</v>
      </c>
      <c r="D1" s="98" t="s">
        <v>69</v>
      </c>
      <c r="E1" s="97" t="s">
        <v>2</v>
      </c>
      <c r="F1" s="293" t="s">
        <v>3</v>
      </c>
      <c r="G1" s="293" t="s">
        <v>22</v>
      </c>
      <c r="H1" s="293" t="s">
        <v>23</v>
      </c>
      <c r="I1" s="293" t="s">
        <v>71</v>
      </c>
      <c r="J1" s="294" t="s">
        <v>38</v>
      </c>
    </row>
    <row r="2" spans="1:10" s="296" customFormat="1" ht="27.75" customHeight="1" thickBot="1">
      <c r="A2" s="525" t="s">
        <v>502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ht="24.75" customHeight="1" thickBot="1">
      <c r="A3" s="108">
        <v>1</v>
      </c>
      <c r="B3" s="109"/>
      <c r="C3" s="561" t="s">
        <v>202</v>
      </c>
      <c r="D3" s="561"/>
      <c r="E3" s="561"/>
      <c r="F3" s="561"/>
      <c r="G3" s="561"/>
      <c r="H3" s="561"/>
      <c r="I3" s="561"/>
      <c r="J3" s="562"/>
    </row>
    <row r="4" spans="1:10" ht="15.75">
      <c r="A4" s="38"/>
      <c r="B4" s="203"/>
      <c r="C4" s="39"/>
      <c r="D4" s="315"/>
      <c r="E4" s="39"/>
      <c r="F4" s="41"/>
      <c r="G4" s="41"/>
      <c r="H4" s="41"/>
      <c r="I4" s="41"/>
      <c r="J4" s="42"/>
    </row>
    <row r="5" spans="1:10" ht="15.75">
      <c r="A5" s="43"/>
      <c r="B5" s="48" t="s">
        <v>4</v>
      </c>
      <c r="C5" s="33" t="s">
        <v>447</v>
      </c>
      <c r="D5" s="316" t="s">
        <v>203</v>
      </c>
      <c r="E5" s="44" t="s">
        <v>13</v>
      </c>
      <c r="F5" s="46">
        <v>6</v>
      </c>
      <c r="G5" s="35">
        <v>7.04</v>
      </c>
      <c r="H5" s="36">
        <v>18.02</v>
      </c>
      <c r="I5" s="36">
        <v>25.06</v>
      </c>
      <c r="J5" s="47">
        <f>I5*F5</f>
        <v>150.35999999999999</v>
      </c>
    </row>
    <row r="6" spans="1:10" ht="15.75">
      <c r="A6" s="43"/>
      <c r="B6" s="48" t="s">
        <v>30</v>
      </c>
      <c r="C6" s="33" t="s">
        <v>448</v>
      </c>
      <c r="D6" s="316" t="s">
        <v>204</v>
      </c>
      <c r="E6" s="44" t="s">
        <v>13</v>
      </c>
      <c r="F6" s="46">
        <v>18</v>
      </c>
      <c r="G6" s="35">
        <v>10.13</v>
      </c>
      <c r="H6" s="36">
        <v>21.62</v>
      </c>
      <c r="I6" s="36">
        <v>31.75</v>
      </c>
      <c r="J6" s="47">
        <f>I6*F6</f>
        <v>571.5</v>
      </c>
    </row>
    <row r="7" spans="1:10" ht="15.75">
      <c r="A7" s="43"/>
      <c r="B7" s="48" t="s">
        <v>29</v>
      </c>
      <c r="C7" s="33" t="s">
        <v>449</v>
      </c>
      <c r="D7" s="316" t="s">
        <v>205</v>
      </c>
      <c r="E7" s="44" t="s">
        <v>13</v>
      </c>
      <c r="F7" s="46">
        <v>18</v>
      </c>
      <c r="G7" s="35">
        <v>15.16</v>
      </c>
      <c r="H7" s="36">
        <v>39.64</v>
      </c>
      <c r="I7" s="36">
        <v>54.8</v>
      </c>
      <c r="J7" s="47">
        <f>I7*F7</f>
        <v>986.4</v>
      </c>
    </row>
    <row r="8" spans="1:10" ht="16.5" thickBot="1">
      <c r="A8" s="43"/>
      <c r="B8" s="48"/>
      <c r="C8" s="44"/>
      <c r="D8" s="318"/>
      <c r="E8" s="83"/>
      <c r="F8" s="57"/>
      <c r="G8" s="57"/>
      <c r="H8" s="57"/>
      <c r="I8" s="57">
        <f>H8+G8</f>
        <v>0</v>
      </c>
      <c r="J8" s="60"/>
    </row>
    <row r="9" spans="1:10" ht="16.5" thickBot="1">
      <c r="A9" s="43"/>
      <c r="B9" s="48"/>
      <c r="C9" s="125"/>
      <c r="D9" s="235" t="s">
        <v>57</v>
      </c>
      <c r="E9" s="70"/>
      <c r="F9" s="75"/>
      <c r="G9" s="128"/>
      <c r="H9" s="128"/>
      <c r="I9" s="71">
        <f>H9+G9</f>
        <v>0</v>
      </c>
      <c r="J9" s="78">
        <f>SUM(J3:J7)</f>
        <v>1708.26</v>
      </c>
    </row>
    <row r="10" spans="1:10" ht="16.5" thickBot="1">
      <c r="A10" s="49"/>
      <c r="B10" s="225"/>
      <c r="C10" s="50"/>
      <c r="D10" s="241"/>
      <c r="E10" s="134"/>
      <c r="F10" s="138"/>
      <c r="G10" s="136"/>
      <c r="H10" s="136"/>
      <c r="I10" s="138">
        <f>H10+G10</f>
        <v>0</v>
      </c>
      <c r="J10" s="282"/>
    </row>
    <row r="11" spans="1:10" ht="24.75" customHeight="1" thickBot="1">
      <c r="A11" s="108">
        <v>2</v>
      </c>
      <c r="B11" s="109"/>
      <c r="C11" s="543" t="s">
        <v>206</v>
      </c>
      <c r="D11" s="543"/>
      <c r="E11" s="543"/>
      <c r="F11" s="543"/>
      <c r="G11" s="543"/>
      <c r="H11" s="543"/>
      <c r="I11" s="543"/>
      <c r="J11" s="544"/>
    </row>
    <row r="12" spans="1:10" ht="15.75">
      <c r="A12" s="38"/>
      <c r="B12" s="203"/>
      <c r="C12" s="39"/>
      <c r="D12" s="40"/>
      <c r="E12" s="39"/>
      <c r="F12" s="41"/>
      <c r="G12" s="41"/>
      <c r="H12" s="41"/>
      <c r="I12" s="41"/>
      <c r="J12" s="42"/>
    </row>
    <row r="13" spans="1:10" ht="31.5">
      <c r="A13" s="43"/>
      <c r="B13" s="48" t="s">
        <v>25</v>
      </c>
      <c r="C13" s="33" t="s">
        <v>450</v>
      </c>
      <c r="D13" s="319" t="s">
        <v>207</v>
      </c>
      <c r="E13" s="44" t="s">
        <v>211</v>
      </c>
      <c r="F13" s="46">
        <v>1</v>
      </c>
      <c r="G13" s="35">
        <v>101.83</v>
      </c>
      <c r="H13" s="36">
        <v>18.02</v>
      </c>
      <c r="I13" s="36">
        <v>119.85</v>
      </c>
      <c r="J13" s="47">
        <f>I13*F13</f>
        <v>119.85</v>
      </c>
    </row>
    <row r="14" spans="1:10" ht="31.5">
      <c r="A14" s="43"/>
      <c r="B14" s="48" t="s">
        <v>26</v>
      </c>
      <c r="C14" s="33" t="s">
        <v>450</v>
      </c>
      <c r="D14" s="316" t="s">
        <v>208</v>
      </c>
      <c r="E14" s="44" t="s">
        <v>211</v>
      </c>
      <c r="F14" s="46">
        <v>1</v>
      </c>
      <c r="G14" s="35">
        <v>101.83</v>
      </c>
      <c r="H14" s="36">
        <v>18.02</v>
      </c>
      <c r="I14" s="36">
        <v>119.85</v>
      </c>
      <c r="J14" s="47">
        <f>I14*F14</f>
        <v>119.85</v>
      </c>
    </row>
    <row r="15" spans="1:10" ht="31.5">
      <c r="A15" s="43"/>
      <c r="B15" s="48" t="s">
        <v>27</v>
      </c>
      <c r="C15" s="33" t="s">
        <v>451</v>
      </c>
      <c r="D15" s="302" t="s">
        <v>209</v>
      </c>
      <c r="E15" s="44" t="s">
        <v>211</v>
      </c>
      <c r="F15" s="46">
        <v>1</v>
      </c>
      <c r="G15" s="35">
        <v>33.04</v>
      </c>
      <c r="H15" s="36">
        <v>1.46</v>
      </c>
      <c r="I15" s="36">
        <v>34.5</v>
      </c>
      <c r="J15" s="47">
        <f>I15*F15</f>
        <v>34.5</v>
      </c>
    </row>
    <row r="16" spans="1:10" ht="15.75">
      <c r="A16" s="120"/>
      <c r="B16" s="48" t="s">
        <v>77</v>
      </c>
      <c r="C16" s="33" t="s">
        <v>451</v>
      </c>
      <c r="D16" s="302" t="s">
        <v>210</v>
      </c>
      <c r="E16" s="44" t="s">
        <v>211</v>
      </c>
      <c r="F16" s="46">
        <v>1</v>
      </c>
      <c r="G16" s="35">
        <v>33.04</v>
      </c>
      <c r="H16" s="36">
        <v>1.46</v>
      </c>
      <c r="I16" s="36">
        <v>34.5</v>
      </c>
      <c r="J16" s="47">
        <f>I16*F16</f>
        <v>34.5</v>
      </c>
    </row>
    <row r="17" spans="1:10" ht="16.5" thickBot="1">
      <c r="A17" s="120"/>
      <c r="B17" s="48"/>
      <c r="C17" s="44"/>
      <c r="D17" s="303"/>
      <c r="E17" s="83"/>
      <c r="F17" s="57"/>
      <c r="G17" s="123"/>
      <c r="H17" s="123"/>
      <c r="I17" s="57"/>
      <c r="J17" s="60"/>
    </row>
    <row r="18" spans="1:10" ht="16.5" thickBot="1">
      <c r="A18" s="43"/>
      <c r="B18" s="48"/>
      <c r="C18" s="125"/>
      <c r="D18" s="235" t="s">
        <v>56</v>
      </c>
      <c r="E18" s="70"/>
      <c r="F18" s="75"/>
      <c r="G18" s="128"/>
      <c r="H18" s="128"/>
      <c r="I18" s="71">
        <f>H18+G18</f>
        <v>0</v>
      </c>
      <c r="J18" s="78">
        <f>SUM(J13:J16)</f>
        <v>308.7</v>
      </c>
    </row>
    <row r="19" spans="1:10" ht="16.5" thickBot="1">
      <c r="A19" s="49"/>
      <c r="B19" s="225"/>
      <c r="C19" s="50"/>
      <c r="D19" s="321"/>
      <c r="E19" s="134"/>
      <c r="F19" s="138"/>
      <c r="G19" s="136"/>
      <c r="H19" s="136"/>
      <c r="I19" s="138">
        <f>H19+G19</f>
        <v>0</v>
      </c>
      <c r="J19" s="139"/>
    </row>
    <row r="20" spans="1:10" ht="24.75" customHeight="1" thickBot="1">
      <c r="A20" s="108">
        <v>3</v>
      </c>
      <c r="B20" s="109"/>
      <c r="C20" s="539" t="s">
        <v>215</v>
      </c>
      <c r="D20" s="539"/>
      <c r="E20" s="539"/>
      <c r="F20" s="539"/>
      <c r="G20" s="539"/>
      <c r="H20" s="539"/>
      <c r="I20" s="539"/>
      <c r="J20" s="540"/>
    </row>
    <row r="21" spans="1:10" ht="15.75">
      <c r="A21" s="38"/>
      <c r="B21" s="203"/>
      <c r="C21" s="39"/>
      <c r="D21" s="322"/>
      <c r="E21" s="39"/>
      <c r="F21" s="41"/>
      <c r="G21" s="323"/>
      <c r="H21" s="323"/>
      <c r="I21" s="41"/>
      <c r="J21" s="42"/>
    </row>
    <row r="22" spans="1:10" ht="47.25">
      <c r="A22" s="43"/>
      <c r="B22" s="48" t="s">
        <v>8</v>
      </c>
      <c r="C22" s="33" t="s">
        <v>452</v>
      </c>
      <c r="D22" s="302" t="s">
        <v>212</v>
      </c>
      <c r="E22" s="44" t="s">
        <v>211</v>
      </c>
      <c r="F22" s="46">
        <v>2</v>
      </c>
      <c r="G22" s="35">
        <v>29.87</v>
      </c>
      <c r="H22" s="36">
        <v>36.04</v>
      </c>
      <c r="I22" s="36">
        <v>65.91</v>
      </c>
      <c r="J22" s="47">
        <f aca="true" t="shared" si="0" ref="J22:J27">I22*F22</f>
        <v>131.82</v>
      </c>
    </row>
    <row r="23" spans="1:10" ht="47.25">
      <c r="A23" s="43"/>
      <c r="B23" s="48" t="s">
        <v>46</v>
      </c>
      <c r="C23" s="44" t="s">
        <v>345</v>
      </c>
      <c r="D23" s="302" t="s">
        <v>213</v>
      </c>
      <c r="E23" s="44" t="s">
        <v>131</v>
      </c>
      <c r="F23" s="224">
        <v>3</v>
      </c>
      <c r="G23" s="46">
        <v>37.95</v>
      </c>
      <c r="H23" s="46">
        <v>83.17</v>
      </c>
      <c r="I23" s="46">
        <f>(H23+G23)*1.77</f>
        <v>214.38240000000002</v>
      </c>
      <c r="J23" s="47">
        <f t="shared" si="0"/>
        <v>643.1472000000001</v>
      </c>
    </row>
    <row r="24" spans="1:10" ht="47.25">
      <c r="A24" s="43"/>
      <c r="B24" s="48" t="s">
        <v>53</v>
      </c>
      <c r="C24" s="44" t="s">
        <v>345</v>
      </c>
      <c r="D24" s="302" t="s">
        <v>214</v>
      </c>
      <c r="E24" s="44" t="s">
        <v>131</v>
      </c>
      <c r="F24" s="224">
        <v>1</v>
      </c>
      <c r="G24" s="46">
        <v>37.95</v>
      </c>
      <c r="H24" s="46">
        <v>83.17</v>
      </c>
      <c r="I24" s="46">
        <f>(H24+G24)*1.77</f>
        <v>214.38240000000002</v>
      </c>
      <c r="J24" s="47">
        <f t="shared" si="0"/>
        <v>214.38240000000002</v>
      </c>
    </row>
    <row r="25" spans="1:10" ht="16.5" thickBot="1">
      <c r="A25" s="43"/>
      <c r="B25" s="48"/>
      <c r="C25" s="44"/>
      <c r="D25" s="303"/>
      <c r="E25" s="83"/>
      <c r="F25" s="238"/>
      <c r="G25" s="57"/>
      <c r="H25" s="57"/>
      <c r="I25" s="57"/>
      <c r="J25" s="60"/>
    </row>
    <row r="26" spans="1:10" ht="16.5" thickBot="1">
      <c r="A26" s="43"/>
      <c r="B26" s="48"/>
      <c r="C26" s="125"/>
      <c r="D26" s="235" t="s">
        <v>59</v>
      </c>
      <c r="E26" s="70"/>
      <c r="F26" s="75"/>
      <c r="G26" s="128"/>
      <c r="H26" s="128"/>
      <c r="I26" s="71">
        <f>H26+G26</f>
        <v>0</v>
      </c>
      <c r="J26" s="78">
        <f>SUM(J22:J24)</f>
        <v>989.3496</v>
      </c>
    </row>
    <row r="27" spans="1:10" ht="16.5" thickBot="1">
      <c r="A27" s="49"/>
      <c r="B27" s="225"/>
      <c r="C27" s="50"/>
      <c r="D27" s="321"/>
      <c r="E27" s="134"/>
      <c r="F27" s="324"/>
      <c r="G27" s="138"/>
      <c r="H27" s="138"/>
      <c r="I27" s="138">
        <f>H27+G27</f>
        <v>0</v>
      </c>
      <c r="J27" s="139">
        <f t="shared" si="0"/>
        <v>0</v>
      </c>
    </row>
    <row r="28" spans="1:13" s="314" customFormat="1" ht="15.75">
      <c r="A28" s="563" t="s">
        <v>32</v>
      </c>
      <c r="B28" s="564"/>
      <c r="C28" s="564"/>
      <c r="D28" s="564"/>
      <c r="E28" s="329"/>
      <c r="F28" s="330"/>
      <c r="G28" s="330"/>
      <c r="H28" s="330"/>
      <c r="I28" s="331"/>
      <c r="J28" s="332">
        <f>J26+J18+J9</f>
        <v>3006.3096</v>
      </c>
      <c r="K28" s="312"/>
      <c r="L28" s="313"/>
      <c r="M28" s="313"/>
    </row>
    <row r="29" spans="1:13" s="314" customFormat="1" ht="15.75">
      <c r="A29" s="565" t="s">
        <v>516</v>
      </c>
      <c r="B29" s="566"/>
      <c r="C29" s="566"/>
      <c r="D29" s="566"/>
      <c r="E29" s="325"/>
      <c r="F29" s="326"/>
      <c r="G29" s="326"/>
      <c r="H29" s="326"/>
      <c r="I29" s="327"/>
      <c r="J29" s="328">
        <f>J28*0.3</f>
        <v>901.89288</v>
      </c>
      <c r="K29" s="312"/>
      <c r="L29" s="313"/>
      <c r="M29" s="313"/>
    </row>
    <row r="30" spans="1:13" s="314" customFormat="1" ht="16.5" thickBot="1">
      <c r="A30" s="559" t="s">
        <v>45</v>
      </c>
      <c r="B30" s="560"/>
      <c r="C30" s="560"/>
      <c r="D30" s="560"/>
      <c r="E30" s="333"/>
      <c r="F30" s="334"/>
      <c r="G30" s="334"/>
      <c r="H30" s="334"/>
      <c r="I30" s="335"/>
      <c r="J30" s="336">
        <f>SUM(J28:J29)</f>
        <v>3908.20248</v>
      </c>
      <c r="K30" s="312"/>
      <c r="L30" s="313"/>
      <c r="M30" s="313"/>
    </row>
  </sheetData>
  <sheetProtection/>
  <mergeCells count="7">
    <mergeCell ref="A30:D30"/>
    <mergeCell ref="A2:J2"/>
    <mergeCell ref="C3:J3"/>
    <mergeCell ref="C11:J11"/>
    <mergeCell ref="C20:J20"/>
    <mergeCell ref="A28:D28"/>
    <mergeCell ref="A29:D29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horizontalDpi="300" verticalDpi="300" orientation="portrait" paperSize="9" scale="58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"/>
  <dimension ref="A1:M50"/>
  <sheetViews>
    <sheetView showZeros="0" view="pageBreakPreview" zoomScale="90" zoomScaleSheetLayoutView="90" workbookViewId="0" topLeftCell="A28">
      <selection activeCell="H45" sqref="H45"/>
    </sheetView>
  </sheetViews>
  <sheetFormatPr defaultColWidth="11.421875" defaultRowHeight="12.75"/>
  <cols>
    <col min="1" max="1" width="5.7109375" style="360" bestFit="1" customWidth="1"/>
    <col min="2" max="2" width="8.7109375" style="360" customWidth="1"/>
    <col min="3" max="3" width="14.421875" style="360" customWidth="1"/>
    <col min="4" max="4" width="63.7109375" style="365" customWidth="1"/>
    <col min="5" max="5" width="6.28125" style="360" customWidth="1"/>
    <col min="6" max="6" width="10.7109375" style="362" customWidth="1"/>
    <col min="7" max="9" width="11.7109375" style="363" customWidth="1"/>
    <col min="10" max="10" width="15.7109375" style="366" customWidth="1"/>
    <col min="11" max="11" width="16.421875" style="357" customWidth="1"/>
    <col min="12" max="13" width="11.421875" style="358" customWidth="1"/>
    <col min="14" max="16384" width="11.421875" style="359" customWidth="1"/>
  </cols>
  <sheetData>
    <row r="1" spans="1:13" s="346" customFormat="1" ht="32.25" thickBot="1">
      <c r="A1" s="96" t="s">
        <v>0</v>
      </c>
      <c r="B1" s="97" t="s">
        <v>1</v>
      </c>
      <c r="C1" s="97" t="s">
        <v>321</v>
      </c>
      <c r="D1" s="97" t="s">
        <v>216</v>
      </c>
      <c r="E1" s="97" t="s">
        <v>2</v>
      </c>
      <c r="F1" s="99" t="s">
        <v>3</v>
      </c>
      <c r="G1" s="99" t="s">
        <v>22</v>
      </c>
      <c r="H1" s="99" t="s">
        <v>23</v>
      </c>
      <c r="I1" s="99" t="s">
        <v>217</v>
      </c>
      <c r="J1" s="351" t="s">
        <v>24</v>
      </c>
      <c r="K1" s="344"/>
      <c r="L1" s="345"/>
      <c r="M1" s="345"/>
    </row>
    <row r="2" spans="1:13" s="346" customFormat="1" ht="27.75" customHeight="1" thickBot="1">
      <c r="A2" s="525" t="s">
        <v>503</v>
      </c>
      <c r="B2" s="526"/>
      <c r="C2" s="526"/>
      <c r="D2" s="526"/>
      <c r="E2" s="526"/>
      <c r="F2" s="526"/>
      <c r="G2" s="526"/>
      <c r="H2" s="526"/>
      <c r="I2" s="526"/>
      <c r="J2" s="527"/>
      <c r="K2" s="344"/>
      <c r="L2" s="345"/>
      <c r="M2" s="345"/>
    </row>
    <row r="3" spans="1:13" s="346" customFormat="1" ht="24.75" customHeight="1" thickBot="1">
      <c r="A3" s="108">
        <v>1</v>
      </c>
      <c r="B3" s="109"/>
      <c r="C3" s="539" t="s">
        <v>218</v>
      </c>
      <c r="D3" s="539"/>
      <c r="E3" s="539"/>
      <c r="F3" s="539"/>
      <c r="G3" s="539"/>
      <c r="H3" s="539"/>
      <c r="I3" s="539"/>
      <c r="J3" s="540"/>
      <c r="K3" s="352"/>
      <c r="L3" s="345"/>
      <c r="M3" s="345"/>
    </row>
    <row r="4" spans="1:13" s="354" customFormat="1" ht="63">
      <c r="A4" s="367"/>
      <c r="B4" s="368" t="s">
        <v>4</v>
      </c>
      <c r="C4" s="113" t="s">
        <v>453</v>
      </c>
      <c r="D4" s="369" t="s">
        <v>240</v>
      </c>
      <c r="E4" s="368" t="s">
        <v>12</v>
      </c>
      <c r="F4" s="370">
        <v>1</v>
      </c>
      <c r="G4" s="116">
        <v>231.04</v>
      </c>
      <c r="H4" s="117">
        <v>104.18</v>
      </c>
      <c r="I4" s="117">
        <v>335.22</v>
      </c>
      <c r="J4" s="371">
        <f>I4*F4</f>
        <v>335.22</v>
      </c>
      <c r="K4" s="348"/>
      <c r="L4" s="353"/>
      <c r="M4" s="353"/>
    </row>
    <row r="5" spans="1:13" s="354" customFormat="1" ht="16.5" thickBot="1">
      <c r="A5" s="380"/>
      <c r="B5" s="381"/>
      <c r="C5" s="381"/>
      <c r="D5" s="382"/>
      <c r="E5" s="381"/>
      <c r="F5" s="383"/>
      <c r="G5" s="384"/>
      <c r="H5" s="384"/>
      <c r="I5" s="385">
        <f>H5+G5</f>
        <v>0</v>
      </c>
      <c r="J5" s="386">
        <f aca="true" t="shared" si="0" ref="J5:J46">I5*F5</f>
        <v>0</v>
      </c>
      <c r="K5" s="348"/>
      <c r="L5" s="353"/>
      <c r="M5" s="353"/>
    </row>
    <row r="6" spans="1:13" s="356" customFormat="1" ht="38.25" customHeight="1" thickBot="1">
      <c r="A6" s="216">
        <v>2</v>
      </c>
      <c r="B6" s="252"/>
      <c r="C6" s="567" t="s">
        <v>219</v>
      </c>
      <c r="D6" s="567"/>
      <c r="E6" s="567"/>
      <c r="F6" s="567"/>
      <c r="G6" s="567"/>
      <c r="H6" s="567"/>
      <c r="I6" s="567"/>
      <c r="J6" s="568"/>
      <c r="K6" s="352"/>
      <c r="L6" s="355"/>
      <c r="M6" s="355"/>
    </row>
    <row r="7" spans="1:13" s="350" customFormat="1" ht="15.75">
      <c r="A7" s="387"/>
      <c r="B7" s="388" t="s">
        <v>25</v>
      </c>
      <c r="C7" s="63" t="s">
        <v>454</v>
      </c>
      <c r="D7" s="389" t="s">
        <v>242</v>
      </c>
      <c r="E7" s="388" t="s">
        <v>144</v>
      </c>
      <c r="F7" s="390">
        <f>35*3</f>
        <v>105</v>
      </c>
      <c r="G7" s="66">
        <v>2.62</v>
      </c>
      <c r="H7" s="67">
        <v>17.18</v>
      </c>
      <c r="I7" s="67">
        <v>19.8</v>
      </c>
      <c r="J7" s="391">
        <f t="shared" si="0"/>
        <v>2079</v>
      </c>
      <c r="K7" s="348"/>
      <c r="L7" s="349"/>
      <c r="M7" s="349"/>
    </row>
    <row r="8" spans="1:13" s="350" customFormat="1" ht="15.75">
      <c r="A8" s="372"/>
      <c r="B8" s="373" t="s">
        <v>26</v>
      </c>
      <c r="C8" s="33" t="s">
        <v>455</v>
      </c>
      <c r="D8" s="374" t="s">
        <v>241</v>
      </c>
      <c r="E8" s="373" t="s">
        <v>144</v>
      </c>
      <c r="F8" s="375">
        <f>8*3</f>
        <v>24</v>
      </c>
      <c r="G8" s="35">
        <v>5.15</v>
      </c>
      <c r="H8" s="36">
        <v>24.04</v>
      </c>
      <c r="I8" s="36">
        <v>29.19</v>
      </c>
      <c r="J8" s="378">
        <f t="shared" si="0"/>
        <v>700.5600000000001</v>
      </c>
      <c r="K8" s="348"/>
      <c r="L8" s="349"/>
      <c r="M8" s="349"/>
    </row>
    <row r="9" spans="1:13" s="350" customFormat="1" ht="16.5" thickBot="1">
      <c r="A9" s="380"/>
      <c r="B9" s="381"/>
      <c r="C9" s="381"/>
      <c r="D9" s="382"/>
      <c r="E9" s="381"/>
      <c r="F9" s="383"/>
      <c r="G9" s="384"/>
      <c r="H9" s="384"/>
      <c r="I9" s="385">
        <f>H9+G9</f>
        <v>0</v>
      </c>
      <c r="J9" s="386">
        <f t="shared" si="0"/>
        <v>0</v>
      </c>
      <c r="K9" s="348"/>
      <c r="L9" s="349"/>
      <c r="M9" s="349"/>
    </row>
    <row r="10" spans="1:13" s="356" customFormat="1" ht="24.75" customHeight="1" thickBot="1">
      <c r="A10" s="216">
        <v>3</v>
      </c>
      <c r="B10" s="252"/>
      <c r="C10" s="569" t="s">
        <v>243</v>
      </c>
      <c r="D10" s="539"/>
      <c r="E10" s="539"/>
      <c r="F10" s="539"/>
      <c r="G10" s="539"/>
      <c r="H10" s="539"/>
      <c r="I10" s="539"/>
      <c r="J10" s="540"/>
      <c r="K10" s="352"/>
      <c r="L10" s="355"/>
      <c r="M10" s="355"/>
    </row>
    <row r="11" spans="1:13" s="350" customFormat="1" ht="15.75">
      <c r="A11" s="387"/>
      <c r="B11" s="388" t="s">
        <v>8</v>
      </c>
      <c r="C11" s="63" t="s">
        <v>456</v>
      </c>
      <c r="D11" s="389" t="s">
        <v>244</v>
      </c>
      <c r="E11" s="388" t="s">
        <v>211</v>
      </c>
      <c r="F11" s="390">
        <v>23</v>
      </c>
      <c r="G11" s="66">
        <v>8.4</v>
      </c>
      <c r="H11" s="67">
        <v>17.18</v>
      </c>
      <c r="I11" s="67">
        <v>25.58</v>
      </c>
      <c r="J11" s="391">
        <f t="shared" si="0"/>
        <v>588.3399999999999</v>
      </c>
      <c r="K11" s="348"/>
      <c r="L11" s="349"/>
      <c r="M11" s="349"/>
    </row>
    <row r="12" spans="1:13" s="350" customFormat="1" ht="16.5" thickBot="1">
      <c r="A12" s="380"/>
      <c r="B12" s="381"/>
      <c r="C12" s="381"/>
      <c r="D12" s="392"/>
      <c r="E12" s="381"/>
      <c r="F12" s="383"/>
      <c r="G12" s="384"/>
      <c r="H12" s="384"/>
      <c r="I12" s="385">
        <f>H12+G12</f>
        <v>0</v>
      </c>
      <c r="J12" s="386">
        <f t="shared" si="0"/>
        <v>0</v>
      </c>
      <c r="K12" s="348"/>
      <c r="L12" s="349"/>
      <c r="M12" s="349"/>
    </row>
    <row r="13" spans="1:13" s="356" customFormat="1" ht="24.75" customHeight="1" thickBot="1">
      <c r="A13" s="216">
        <v>4</v>
      </c>
      <c r="B13" s="252"/>
      <c r="C13" s="569" t="s">
        <v>220</v>
      </c>
      <c r="D13" s="539"/>
      <c r="E13" s="539"/>
      <c r="F13" s="539"/>
      <c r="G13" s="539"/>
      <c r="H13" s="539"/>
      <c r="I13" s="539"/>
      <c r="J13" s="540"/>
      <c r="K13" s="352"/>
      <c r="L13" s="355"/>
      <c r="M13" s="355"/>
    </row>
    <row r="14" spans="1:13" s="350" customFormat="1" ht="15.75">
      <c r="A14" s="387"/>
      <c r="B14" s="388" t="s">
        <v>41</v>
      </c>
      <c r="C14" s="63" t="s">
        <v>457</v>
      </c>
      <c r="D14" s="389" t="s">
        <v>221</v>
      </c>
      <c r="E14" s="388" t="s">
        <v>211</v>
      </c>
      <c r="F14" s="390">
        <v>5</v>
      </c>
      <c r="G14" s="66">
        <v>16.53</v>
      </c>
      <c r="H14" s="67">
        <v>12.02</v>
      </c>
      <c r="I14" s="67">
        <v>28.55</v>
      </c>
      <c r="J14" s="391">
        <f t="shared" si="0"/>
        <v>142.75</v>
      </c>
      <c r="K14" s="348"/>
      <c r="L14" s="349"/>
      <c r="M14" s="349"/>
    </row>
    <row r="15" spans="1:13" s="350" customFormat="1" ht="15.75">
      <c r="A15" s="372"/>
      <c r="B15" s="373" t="s">
        <v>47</v>
      </c>
      <c r="C15" s="33" t="s">
        <v>458</v>
      </c>
      <c r="D15" s="379" t="s">
        <v>319</v>
      </c>
      <c r="E15" s="373" t="s">
        <v>211</v>
      </c>
      <c r="F15" s="375">
        <v>2</v>
      </c>
      <c r="G15" s="35">
        <v>20.95</v>
      </c>
      <c r="H15" s="36">
        <v>12.02</v>
      </c>
      <c r="I15" s="36">
        <v>32.97</v>
      </c>
      <c r="J15" s="378">
        <f t="shared" si="0"/>
        <v>65.94</v>
      </c>
      <c r="K15" s="348"/>
      <c r="L15" s="349"/>
      <c r="M15" s="349"/>
    </row>
    <row r="16" spans="1:13" s="350" customFormat="1" ht="16.5" thickBot="1">
      <c r="A16" s="380"/>
      <c r="B16" s="381"/>
      <c r="C16" s="381"/>
      <c r="D16" s="382"/>
      <c r="E16" s="381"/>
      <c r="F16" s="383"/>
      <c r="G16" s="384"/>
      <c r="H16" s="384"/>
      <c r="I16" s="385">
        <f>H16+G16</f>
        <v>0</v>
      </c>
      <c r="J16" s="386">
        <f t="shared" si="0"/>
        <v>0</v>
      </c>
      <c r="K16" s="348"/>
      <c r="L16" s="349"/>
      <c r="M16" s="349"/>
    </row>
    <row r="17" spans="1:13" s="356" customFormat="1" ht="24.75" customHeight="1" thickBot="1">
      <c r="A17" s="216">
        <v>5</v>
      </c>
      <c r="B17" s="252"/>
      <c r="C17" s="570" t="s">
        <v>222</v>
      </c>
      <c r="D17" s="561"/>
      <c r="E17" s="561"/>
      <c r="F17" s="561"/>
      <c r="G17" s="561"/>
      <c r="H17" s="561"/>
      <c r="I17" s="561"/>
      <c r="J17" s="562"/>
      <c r="K17" s="352"/>
      <c r="L17" s="355"/>
      <c r="M17" s="355"/>
    </row>
    <row r="18" spans="1:13" s="350" customFormat="1" ht="15.75">
      <c r="A18" s="387"/>
      <c r="B18" s="388" t="s">
        <v>10</v>
      </c>
      <c r="C18" s="63" t="s">
        <v>459</v>
      </c>
      <c r="D18" s="389" t="s">
        <v>223</v>
      </c>
      <c r="E18" s="388" t="s">
        <v>211</v>
      </c>
      <c r="F18" s="390">
        <v>12</v>
      </c>
      <c r="G18" s="66">
        <v>10.79</v>
      </c>
      <c r="H18" s="67">
        <v>10.31</v>
      </c>
      <c r="I18" s="67">
        <v>21.1</v>
      </c>
      <c r="J18" s="391">
        <f t="shared" si="0"/>
        <v>253.20000000000002</v>
      </c>
      <c r="K18" s="348"/>
      <c r="L18" s="349"/>
      <c r="M18" s="349"/>
    </row>
    <row r="19" spans="1:13" s="350" customFormat="1" ht="16.5" thickBot="1">
      <c r="A19" s="380"/>
      <c r="B19" s="381"/>
      <c r="C19" s="381"/>
      <c r="D19" s="393"/>
      <c r="E19" s="381"/>
      <c r="F19" s="383"/>
      <c r="G19" s="384"/>
      <c r="H19" s="384"/>
      <c r="I19" s="385">
        <f>H19+G19</f>
        <v>0</v>
      </c>
      <c r="J19" s="386">
        <f t="shared" si="0"/>
        <v>0</v>
      </c>
      <c r="K19" s="348"/>
      <c r="L19" s="349"/>
      <c r="M19" s="349"/>
    </row>
    <row r="20" spans="1:13" s="356" customFormat="1" ht="24.75" customHeight="1" thickBot="1">
      <c r="A20" s="216">
        <v>6</v>
      </c>
      <c r="B20" s="252"/>
      <c r="C20" s="569" t="s">
        <v>224</v>
      </c>
      <c r="D20" s="539"/>
      <c r="E20" s="539"/>
      <c r="F20" s="539"/>
      <c r="G20" s="539"/>
      <c r="H20" s="539"/>
      <c r="I20" s="539"/>
      <c r="J20" s="540"/>
      <c r="K20" s="352"/>
      <c r="L20" s="355"/>
      <c r="M20" s="355"/>
    </row>
    <row r="21" spans="1:13" s="350" customFormat="1" ht="15.75">
      <c r="A21" s="387"/>
      <c r="B21" s="388" t="s">
        <v>14</v>
      </c>
      <c r="C21" s="63" t="s">
        <v>460</v>
      </c>
      <c r="D21" s="389" t="s">
        <v>225</v>
      </c>
      <c r="E21" s="388" t="s">
        <v>211</v>
      </c>
      <c r="F21" s="390">
        <v>70</v>
      </c>
      <c r="G21" s="66">
        <v>1.52</v>
      </c>
      <c r="H21" s="67">
        <v>5.15</v>
      </c>
      <c r="I21" s="67">
        <v>6.67</v>
      </c>
      <c r="J21" s="391">
        <f t="shared" si="0"/>
        <v>466.9</v>
      </c>
      <c r="K21" s="348"/>
      <c r="L21" s="349"/>
      <c r="M21" s="349"/>
    </row>
    <row r="22" spans="1:13" s="350" customFormat="1" ht="16.5" thickBot="1">
      <c r="A22" s="380"/>
      <c r="B22" s="381"/>
      <c r="C22" s="381"/>
      <c r="D22" s="393"/>
      <c r="E22" s="381"/>
      <c r="F22" s="383"/>
      <c r="G22" s="384"/>
      <c r="H22" s="384"/>
      <c r="I22" s="385">
        <f>H22+G22</f>
        <v>0</v>
      </c>
      <c r="J22" s="386">
        <f t="shared" si="0"/>
        <v>0</v>
      </c>
      <c r="K22" s="348"/>
      <c r="L22" s="349"/>
      <c r="M22" s="349"/>
    </row>
    <row r="23" spans="1:13" s="356" customFormat="1" ht="24.75" customHeight="1" thickBot="1">
      <c r="A23" s="216">
        <v>7</v>
      </c>
      <c r="B23" s="252"/>
      <c r="C23" s="569" t="s">
        <v>226</v>
      </c>
      <c r="D23" s="539"/>
      <c r="E23" s="539"/>
      <c r="F23" s="539"/>
      <c r="G23" s="539"/>
      <c r="H23" s="539"/>
      <c r="I23" s="539"/>
      <c r="J23" s="540"/>
      <c r="K23" s="352"/>
      <c r="L23" s="355"/>
      <c r="M23" s="355"/>
    </row>
    <row r="24" spans="1:13" s="350" customFormat="1" ht="31.5">
      <c r="A24" s="387"/>
      <c r="B24" s="388" t="s">
        <v>16</v>
      </c>
      <c r="C24" s="63" t="s">
        <v>461</v>
      </c>
      <c r="D24" s="389" t="s">
        <v>248</v>
      </c>
      <c r="E24" s="388" t="s">
        <v>211</v>
      </c>
      <c r="F24" s="390">
        <v>4</v>
      </c>
      <c r="G24" s="66">
        <v>535.39</v>
      </c>
      <c r="H24" s="67">
        <v>17.18</v>
      </c>
      <c r="I24" s="67">
        <v>552.57</v>
      </c>
      <c r="J24" s="391">
        <f t="shared" si="0"/>
        <v>2210.28</v>
      </c>
      <c r="K24" s="348"/>
      <c r="L24" s="349"/>
      <c r="M24" s="349"/>
    </row>
    <row r="25" spans="1:13" s="350" customFormat="1" ht="31.5">
      <c r="A25" s="372"/>
      <c r="B25" s="373" t="s">
        <v>227</v>
      </c>
      <c r="C25" s="33" t="s">
        <v>461</v>
      </c>
      <c r="D25" s="379" t="s">
        <v>245</v>
      </c>
      <c r="E25" s="373" t="s">
        <v>211</v>
      </c>
      <c r="F25" s="375">
        <v>2</v>
      </c>
      <c r="G25" s="35">
        <v>535.39</v>
      </c>
      <c r="H25" s="36">
        <v>17.18</v>
      </c>
      <c r="I25" s="36">
        <v>552.57</v>
      </c>
      <c r="J25" s="378">
        <f t="shared" si="0"/>
        <v>1105.14</v>
      </c>
      <c r="K25" s="348"/>
      <c r="L25" s="349"/>
      <c r="M25" s="349"/>
    </row>
    <row r="26" spans="1:13" s="350" customFormat="1" ht="31.5">
      <c r="A26" s="372"/>
      <c r="B26" s="373" t="s">
        <v>228</v>
      </c>
      <c r="C26" s="373" t="s">
        <v>345</v>
      </c>
      <c r="D26" s="379" t="s">
        <v>246</v>
      </c>
      <c r="E26" s="373" t="s">
        <v>211</v>
      </c>
      <c r="F26" s="375">
        <v>5</v>
      </c>
      <c r="G26" s="223">
        <v>49.5</v>
      </c>
      <c r="H26" s="376">
        <v>9.72</v>
      </c>
      <c r="I26" s="377">
        <f>(H26+G26)*1.77</f>
        <v>104.8194</v>
      </c>
      <c r="J26" s="378">
        <f t="shared" si="0"/>
        <v>524.097</v>
      </c>
      <c r="K26" s="348"/>
      <c r="L26" s="349"/>
      <c r="M26" s="349"/>
    </row>
    <row r="27" spans="1:13" s="350" customFormat="1" ht="63">
      <c r="A27" s="372"/>
      <c r="B27" s="373" t="s">
        <v>229</v>
      </c>
      <c r="C27" s="33" t="s">
        <v>462</v>
      </c>
      <c r="D27" s="379" t="s">
        <v>247</v>
      </c>
      <c r="E27" s="373" t="s">
        <v>211</v>
      </c>
      <c r="F27" s="375">
        <v>7</v>
      </c>
      <c r="G27" s="35">
        <v>62.71</v>
      </c>
      <c r="H27" s="36">
        <v>13.74</v>
      </c>
      <c r="I27" s="36">
        <v>76.45</v>
      </c>
      <c r="J27" s="378">
        <f t="shared" si="0"/>
        <v>535.15</v>
      </c>
      <c r="K27" s="348"/>
      <c r="L27" s="349"/>
      <c r="M27" s="349"/>
    </row>
    <row r="28" spans="1:13" s="350" customFormat="1" ht="16.5" thickBot="1">
      <c r="A28" s="380"/>
      <c r="B28" s="381"/>
      <c r="C28" s="381"/>
      <c r="D28" s="393"/>
      <c r="E28" s="381"/>
      <c r="F28" s="383"/>
      <c r="G28" s="384"/>
      <c r="H28" s="384"/>
      <c r="I28" s="385">
        <f>H28+G28</f>
        <v>0</v>
      </c>
      <c r="J28" s="386">
        <f t="shared" si="0"/>
        <v>0</v>
      </c>
      <c r="K28" s="348"/>
      <c r="L28" s="349"/>
      <c r="M28" s="349"/>
    </row>
    <row r="29" spans="1:13" s="356" customFormat="1" ht="24.75" customHeight="1" thickBot="1">
      <c r="A29" s="216">
        <v>8</v>
      </c>
      <c r="B29" s="252"/>
      <c r="C29" s="569" t="s">
        <v>230</v>
      </c>
      <c r="D29" s="539"/>
      <c r="E29" s="539"/>
      <c r="F29" s="539"/>
      <c r="G29" s="539"/>
      <c r="H29" s="539"/>
      <c r="I29" s="539"/>
      <c r="J29" s="540"/>
      <c r="K29" s="352"/>
      <c r="L29" s="355"/>
      <c r="M29" s="355"/>
    </row>
    <row r="30" spans="1:13" s="350" customFormat="1" ht="15.75">
      <c r="A30" s="387"/>
      <c r="B30" s="388" t="s">
        <v>17</v>
      </c>
      <c r="C30" s="388" t="s">
        <v>345</v>
      </c>
      <c r="D30" s="389" t="s">
        <v>507</v>
      </c>
      <c r="E30" s="388" t="s">
        <v>211</v>
      </c>
      <c r="F30" s="390">
        <v>12</v>
      </c>
      <c r="G30" s="394">
        <v>12.5</v>
      </c>
      <c r="H30" s="394">
        <v>1.9</v>
      </c>
      <c r="I30" s="395">
        <f>(H30+G30)</f>
        <v>14.4</v>
      </c>
      <c r="J30" s="391">
        <f t="shared" si="0"/>
        <v>172.8</v>
      </c>
      <c r="K30" s="348"/>
      <c r="L30" s="349"/>
      <c r="M30" s="349"/>
    </row>
    <row r="31" spans="1:13" s="350" customFormat="1" ht="15.75">
      <c r="A31" s="372"/>
      <c r="B31" s="373" t="s">
        <v>49</v>
      </c>
      <c r="C31" s="373" t="s">
        <v>345</v>
      </c>
      <c r="D31" s="379" t="s">
        <v>508</v>
      </c>
      <c r="E31" s="373" t="s">
        <v>211</v>
      </c>
      <c r="F31" s="375">
        <v>4</v>
      </c>
      <c r="G31" s="376">
        <v>90</v>
      </c>
      <c r="H31" s="376">
        <v>1.9</v>
      </c>
      <c r="I31" s="377">
        <f>(H31+G31)</f>
        <v>91.9</v>
      </c>
      <c r="J31" s="378">
        <f t="shared" si="0"/>
        <v>367.6</v>
      </c>
      <c r="K31" s="348"/>
      <c r="L31" s="349"/>
      <c r="M31" s="349"/>
    </row>
    <row r="32" spans="1:13" s="350" customFormat="1" ht="15.75">
      <c r="A32" s="372"/>
      <c r="B32" s="373" t="s">
        <v>171</v>
      </c>
      <c r="C32" s="373" t="s">
        <v>345</v>
      </c>
      <c r="D32" s="379" t="s">
        <v>509</v>
      </c>
      <c r="E32" s="373" t="s">
        <v>211</v>
      </c>
      <c r="F32" s="375">
        <v>2</v>
      </c>
      <c r="G32" s="376">
        <v>20</v>
      </c>
      <c r="H32" s="376">
        <v>1.9</v>
      </c>
      <c r="I32" s="377">
        <f>(H32+G32)</f>
        <v>21.9</v>
      </c>
      <c r="J32" s="378">
        <f>I32*F32</f>
        <v>43.8</v>
      </c>
      <c r="K32" s="348"/>
      <c r="L32" s="349"/>
      <c r="M32" s="349"/>
    </row>
    <row r="33" spans="1:13" s="350" customFormat="1" ht="16.5" thickBot="1">
      <c r="A33" s="380"/>
      <c r="B33" s="381"/>
      <c r="C33" s="381"/>
      <c r="D33" s="393"/>
      <c r="E33" s="381"/>
      <c r="F33" s="383"/>
      <c r="G33" s="384"/>
      <c r="H33" s="384"/>
      <c r="I33" s="385">
        <f>H33+G33</f>
        <v>0</v>
      </c>
      <c r="J33" s="386">
        <f t="shared" si="0"/>
        <v>0</v>
      </c>
      <c r="K33" s="348"/>
      <c r="L33" s="349"/>
      <c r="M33" s="349"/>
    </row>
    <row r="34" spans="1:13" s="356" customFormat="1" ht="31.5" customHeight="1" thickBot="1">
      <c r="A34" s="216">
        <v>9</v>
      </c>
      <c r="B34" s="252"/>
      <c r="C34" s="569" t="s">
        <v>231</v>
      </c>
      <c r="D34" s="539"/>
      <c r="E34" s="539"/>
      <c r="F34" s="539"/>
      <c r="G34" s="539"/>
      <c r="H34" s="539"/>
      <c r="I34" s="539"/>
      <c r="J34" s="540"/>
      <c r="K34" s="352"/>
      <c r="L34" s="355"/>
      <c r="M34" s="355"/>
    </row>
    <row r="35" spans="1:13" s="350" customFormat="1" ht="15.75">
      <c r="A35" s="387"/>
      <c r="B35" s="388" t="s">
        <v>173</v>
      </c>
      <c r="C35" s="63" t="s">
        <v>463</v>
      </c>
      <c r="D35" s="389" t="s">
        <v>232</v>
      </c>
      <c r="E35" s="388" t="s">
        <v>13</v>
      </c>
      <c r="F35" s="390">
        <v>400</v>
      </c>
      <c r="G35" s="66">
        <v>0.64</v>
      </c>
      <c r="H35" s="67">
        <v>1.37</v>
      </c>
      <c r="I35" s="67">
        <v>2.01</v>
      </c>
      <c r="J35" s="391">
        <f t="shared" si="0"/>
        <v>803.9999999999999</v>
      </c>
      <c r="K35" s="348"/>
      <c r="L35" s="349"/>
      <c r="M35" s="349"/>
    </row>
    <row r="36" spans="1:13" s="350" customFormat="1" ht="15.75">
      <c r="A36" s="372"/>
      <c r="B36" s="373" t="s">
        <v>174</v>
      </c>
      <c r="C36" s="33" t="s">
        <v>346</v>
      </c>
      <c r="D36" s="374" t="s">
        <v>239</v>
      </c>
      <c r="E36" s="373" t="s">
        <v>13</v>
      </c>
      <c r="F36" s="375">
        <v>120</v>
      </c>
      <c r="G36" s="35">
        <v>1.6</v>
      </c>
      <c r="H36" s="36">
        <v>2.41</v>
      </c>
      <c r="I36" s="36">
        <v>4.01</v>
      </c>
      <c r="J36" s="378">
        <f t="shared" si="0"/>
        <v>481.2</v>
      </c>
      <c r="K36" s="348"/>
      <c r="L36" s="349"/>
      <c r="M36" s="349"/>
    </row>
    <row r="37" spans="1:10" ht="16.5" thickBot="1">
      <c r="A37" s="396"/>
      <c r="B37" s="397"/>
      <c r="C37" s="397"/>
      <c r="D37" s="398"/>
      <c r="E37" s="397"/>
      <c r="F37" s="399"/>
      <c r="G37" s="400"/>
      <c r="H37" s="400"/>
      <c r="I37" s="401">
        <f>H37+G37</f>
        <v>0</v>
      </c>
      <c r="J37" s="402">
        <f t="shared" si="0"/>
        <v>0</v>
      </c>
    </row>
    <row r="38" spans="1:13" s="350" customFormat="1" ht="24.75" customHeight="1" thickBot="1">
      <c r="A38" s="216">
        <v>10</v>
      </c>
      <c r="B38" s="217"/>
      <c r="C38" s="569" t="s">
        <v>233</v>
      </c>
      <c r="D38" s="539"/>
      <c r="E38" s="539"/>
      <c r="F38" s="539"/>
      <c r="G38" s="539"/>
      <c r="H38" s="539"/>
      <c r="I38" s="539"/>
      <c r="J38" s="540"/>
      <c r="K38" s="348"/>
      <c r="L38" s="349"/>
      <c r="M38" s="349"/>
    </row>
    <row r="39" spans="1:13" s="350" customFormat="1" ht="15.75">
      <c r="A39" s="403"/>
      <c r="B39" s="388" t="s">
        <v>18</v>
      </c>
      <c r="C39" s="388" t="s">
        <v>345</v>
      </c>
      <c r="D39" s="389" t="s">
        <v>234</v>
      </c>
      <c r="E39" s="388" t="s">
        <v>13</v>
      </c>
      <c r="F39" s="390">
        <v>25</v>
      </c>
      <c r="G39" s="394">
        <v>3.5</v>
      </c>
      <c r="H39" s="394">
        <v>1.89</v>
      </c>
      <c r="I39" s="395">
        <f>(H39+G39)*1.77</f>
        <v>9.5403</v>
      </c>
      <c r="J39" s="391">
        <f t="shared" si="0"/>
        <v>238.5075</v>
      </c>
      <c r="K39" s="348"/>
      <c r="L39" s="349"/>
      <c r="M39" s="349"/>
    </row>
    <row r="40" spans="1:13" s="350" customFormat="1" ht="16.5" thickBot="1">
      <c r="A40" s="380"/>
      <c r="B40" s="381"/>
      <c r="C40" s="381"/>
      <c r="D40" s="382"/>
      <c r="E40" s="381"/>
      <c r="F40" s="383"/>
      <c r="G40" s="384"/>
      <c r="H40" s="384"/>
      <c r="I40" s="385">
        <f>H40+G40</f>
        <v>0</v>
      </c>
      <c r="J40" s="386">
        <f t="shared" si="0"/>
        <v>0</v>
      </c>
      <c r="K40" s="348"/>
      <c r="L40" s="349"/>
      <c r="M40" s="349"/>
    </row>
    <row r="41" spans="1:13" s="356" customFormat="1" ht="24.75" customHeight="1" thickBot="1">
      <c r="A41" s="216">
        <v>11</v>
      </c>
      <c r="B41" s="252"/>
      <c r="C41" s="569" t="s">
        <v>235</v>
      </c>
      <c r="D41" s="539"/>
      <c r="E41" s="539"/>
      <c r="F41" s="539"/>
      <c r="G41" s="539"/>
      <c r="H41" s="539"/>
      <c r="I41" s="539"/>
      <c r="J41" s="540"/>
      <c r="K41" s="352"/>
      <c r="L41" s="355"/>
      <c r="M41" s="355"/>
    </row>
    <row r="42" spans="1:13" s="350" customFormat="1" ht="15.75">
      <c r="A42" s="387"/>
      <c r="B42" s="388" t="s">
        <v>19</v>
      </c>
      <c r="C42" s="63" t="s">
        <v>464</v>
      </c>
      <c r="D42" s="389" t="s">
        <v>236</v>
      </c>
      <c r="E42" s="388" t="s">
        <v>12</v>
      </c>
      <c r="F42" s="390">
        <v>3</v>
      </c>
      <c r="G42" s="66">
        <v>11.31</v>
      </c>
      <c r="H42" s="67">
        <v>10.31</v>
      </c>
      <c r="I42" s="67">
        <v>21.62</v>
      </c>
      <c r="J42" s="391">
        <f t="shared" si="0"/>
        <v>64.86</v>
      </c>
      <c r="K42" s="348"/>
      <c r="L42" s="349"/>
      <c r="M42" s="349"/>
    </row>
    <row r="43" spans="1:13" s="350" customFormat="1" ht="16.5" thickBot="1">
      <c r="A43" s="380"/>
      <c r="B43" s="381"/>
      <c r="C43" s="381"/>
      <c r="D43" s="393"/>
      <c r="E43" s="381"/>
      <c r="F43" s="383"/>
      <c r="G43" s="384"/>
      <c r="H43" s="384"/>
      <c r="I43" s="385">
        <f>H43+G43</f>
        <v>0</v>
      </c>
      <c r="J43" s="386">
        <f t="shared" si="0"/>
        <v>0</v>
      </c>
      <c r="K43" s="348"/>
      <c r="L43" s="349"/>
      <c r="M43" s="349"/>
    </row>
    <row r="44" spans="1:13" s="356" customFormat="1" ht="24.75" customHeight="1" thickBot="1">
      <c r="A44" s="216">
        <v>12</v>
      </c>
      <c r="B44" s="252"/>
      <c r="C44" s="570" t="s">
        <v>237</v>
      </c>
      <c r="D44" s="561"/>
      <c r="E44" s="561"/>
      <c r="F44" s="561"/>
      <c r="G44" s="561"/>
      <c r="H44" s="561"/>
      <c r="I44" s="561"/>
      <c r="J44" s="562"/>
      <c r="K44" s="352"/>
      <c r="L44" s="355"/>
      <c r="M44" s="355"/>
    </row>
    <row r="45" spans="1:13" s="350" customFormat="1" ht="15.75">
      <c r="A45" s="387"/>
      <c r="B45" s="388" t="s">
        <v>20</v>
      </c>
      <c r="C45" s="63" t="s">
        <v>465</v>
      </c>
      <c r="D45" s="389" t="s">
        <v>238</v>
      </c>
      <c r="E45" s="388" t="s">
        <v>13</v>
      </c>
      <c r="F45" s="390">
        <v>20</v>
      </c>
      <c r="G45" s="66">
        <v>3.17</v>
      </c>
      <c r="H45" s="67">
        <v>5.15</v>
      </c>
      <c r="I45" s="67">
        <v>8.32</v>
      </c>
      <c r="J45" s="391">
        <f t="shared" si="0"/>
        <v>166.4</v>
      </c>
      <c r="K45" s="348"/>
      <c r="L45" s="349"/>
      <c r="M45" s="349"/>
    </row>
    <row r="46" spans="1:10" ht="16.5" thickBot="1">
      <c r="A46" s="396"/>
      <c r="B46" s="397"/>
      <c r="C46" s="397"/>
      <c r="D46" s="407"/>
      <c r="E46" s="397"/>
      <c r="F46" s="399"/>
      <c r="G46" s="400"/>
      <c r="H46" s="400"/>
      <c r="I46" s="401">
        <f>H46+G46</f>
        <v>0</v>
      </c>
      <c r="J46" s="402">
        <f t="shared" si="0"/>
        <v>0</v>
      </c>
    </row>
    <row r="47" spans="1:13" s="350" customFormat="1" ht="15.75">
      <c r="A47" s="557" t="s">
        <v>32</v>
      </c>
      <c r="B47" s="558"/>
      <c r="C47" s="558"/>
      <c r="D47" s="558"/>
      <c r="E47" s="408"/>
      <c r="F47" s="409"/>
      <c r="G47" s="410"/>
      <c r="H47" s="410"/>
      <c r="I47" s="411"/>
      <c r="J47" s="412">
        <f>SUM(J4:J46)</f>
        <v>11345.7445</v>
      </c>
      <c r="K47" s="348"/>
      <c r="L47" s="349"/>
      <c r="M47" s="349"/>
    </row>
    <row r="48" spans="1:13" s="350" customFormat="1" ht="15.75">
      <c r="A48" s="537" t="s">
        <v>516</v>
      </c>
      <c r="B48" s="538"/>
      <c r="C48" s="538"/>
      <c r="D48" s="538"/>
      <c r="E48" s="289"/>
      <c r="F48" s="404"/>
      <c r="G48" s="405"/>
      <c r="H48" s="405"/>
      <c r="I48" s="406"/>
      <c r="J48" s="182">
        <f>J47*0.3</f>
        <v>3403.72335</v>
      </c>
      <c r="K48" s="348"/>
      <c r="L48" s="349"/>
      <c r="M48" s="349"/>
    </row>
    <row r="49" spans="1:13" s="350" customFormat="1" ht="16.5" thickBot="1">
      <c r="A49" s="571" t="s">
        <v>45</v>
      </c>
      <c r="B49" s="572"/>
      <c r="C49" s="572"/>
      <c r="D49" s="572"/>
      <c r="E49" s="291"/>
      <c r="F49" s="413"/>
      <c r="G49" s="414"/>
      <c r="H49" s="414"/>
      <c r="I49" s="415"/>
      <c r="J49" s="188">
        <f>SUM(J47:J48)</f>
        <v>14749.46785</v>
      </c>
      <c r="K49" s="348"/>
      <c r="L49" s="349"/>
      <c r="M49" s="349"/>
    </row>
    <row r="50" spans="4:10" ht="15.75">
      <c r="D50" s="361"/>
      <c r="J50" s="364"/>
    </row>
  </sheetData>
  <sheetProtection/>
  <mergeCells count="16">
    <mergeCell ref="C20:J20"/>
    <mergeCell ref="A47:D47"/>
    <mergeCell ref="A48:D48"/>
    <mergeCell ref="A49:D49"/>
    <mergeCell ref="C23:J23"/>
    <mergeCell ref="C29:J29"/>
    <mergeCell ref="C34:J34"/>
    <mergeCell ref="C38:J38"/>
    <mergeCell ref="C41:J41"/>
    <mergeCell ref="C44:J44"/>
    <mergeCell ref="A2:J2"/>
    <mergeCell ref="C3:J3"/>
    <mergeCell ref="C6:J6"/>
    <mergeCell ref="C10:J10"/>
    <mergeCell ref="C13:J13"/>
    <mergeCell ref="C17:J17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horizontalDpi="300" verticalDpi="300" orientation="portrait" paperSize="9" scale="58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showZeros="0" view="pageBreakPreview" zoomScale="90" zoomScaleSheetLayoutView="90" workbookViewId="0" topLeftCell="A7">
      <selection activeCell="H45" sqref="H45"/>
    </sheetView>
  </sheetViews>
  <sheetFormatPr defaultColWidth="9.140625" defaultRowHeight="12.75"/>
  <cols>
    <col min="1" max="1" width="5.7109375" style="296" customWidth="1"/>
    <col min="2" max="2" width="8.7109375" style="300" customWidth="1"/>
    <col min="3" max="3" width="16.421875" style="300" customWidth="1"/>
    <col min="4" max="4" width="63.7109375" style="298" customWidth="1"/>
    <col min="5" max="5" width="6.7109375" style="300" customWidth="1"/>
    <col min="6" max="6" width="10.7109375" style="299" customWidth="1"/>
    <col min="7" max="9" width="11.7109375" style="299" customWidth="1"/>
    <col min="10" max="10" width="15.7109375" style="299" customWidth="1"/>
    <col min="11" max="16384" width="9.140625" style="297" customWidth="1"/>
  </cols>
  <sheetData>
    <row r="1" spans="1:10" s="296" customFormat="1" ht="32.25" thickBot="1">
      <c r="A1" s="96" t="s">
        <v>0</v>
      </c>
      <c r="B1" s="97" t="s">
        <v>1</v>
      </c>
      <c r="C1" s="97" t="s">
        <v>321</v>
      </c>
      <c r="D1" s="98" t="s">
        <v>69</v>
      </c>
      <c r="E1" s="97" t="s">
        <v>2</v>
      </c>
      <c r="F1" s="293" t="s">
        <v>3</v>
      </c>
      <c r="G1" s="293" t="s">
        <v>22</v>
      </c>
      <c r="H1" s="293" t="s">
        <v>23</v>
      </c>
      <c r="I1" s="293" t="s">
        <v>71</v>
      </c>
      <c r="J1" s="294" t="s">
        <v>38</v>
      </c>
    </row>
    <row r="2" spans="1:10" s="296" customFormat="1" ht="27.75" customHeight="1" thickBot="1">
      <c r="A2" s="525" t="s">
        <v>504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ht="24.75" customHeight="1" thickBot="1">
      <c r="A3" s="216">
        <v>1</v>
      </c>
      <c r="B3" s="217"/>
      <c r="C3" s="556" t="s">
        <v>488</v>
      </c>
      <c r="D3" s="543"/>
      <c r="E3" s="543"/>
      <c r="F3" s="543"/>
      <c r="G3" s="543"/>
      <c r="H3" s="543"/>
      <c r="I3" s="543"/>
      <c r="J3" s="544"/>
    </row>
    <row r="4" spans="1:10" ht="15.75">
      <c r="A4" s="61"/>
      <c r="B4" s="85" t="s">
        <v>4</v>
      </c>
      <c r="C4" s="63" t="s">
        <v>449</v>
      </c>
      <c r="D4" s="86" t="s">
        <v>249</v>
      </c>
      <c r="E4" s="85" t="s">
        <v>13</v>
      </c>
      <c r="F4" s="65">
        <v>20</v>
      </c>
      <c r="G4" s="66">
        <v>15.16</v>
      </c>
      <c r="H4" s="67">
        <v>39.64</v>
      </c>
      <c r="I4" s="67">
        <v>54.8</v>
      </c>
      <c r="J4" s="68">
        <f>I4*F4</f>
        <v>1096</v>
      </c>
    </row>
    <row r="5" spans="1:10" ht="12.75" customHeight="1" thickBot="1">
      <c r="A5" s="53"/>
      <c r="B5" s="83"/>
      <c r="C5" s="83"/>
      <c r="D5" s="84"/>
      <c r="E5" s="83"/>
      <c r="F5" s="57"/>
      <c r="G5" s="57"/>
      <c r="H5" s="57"/>
      <c r="I5" s="57">
        <f>H5+G5</f>
        <v>0</v>
      </c>
      <c r="J5" s="60"/>
    </row>
    <row r="6" spans="1:10" ht="24.75" customHeight="1" thickBot="1">
      <c r="A6" s="216">
        <v>2</v>
      </c>
      <c r="B6" s="217"/>
      <c r="C6" s="556" t="s">
        <v>250</v>
      </c>
      <c r="D6" s="543"/>
      <c r="E6" s="543"/>
      <c r="F6" s="543"/>
      <c r="G6" s="543"/>
      <c r="H6" s="543"/>
      <c r="I6" s="543"/>
      <c r="J6" s="544"/>
    </row>
    <row r="7" spans="1:10" ht="31.5">
      <c r="A7" s="61"/>
      <c r="B7" s="85" t="s">
        <v>25</v>
      </c>
      <c r="C7" s="63" t="s">
        <v>466</v>
      </c>
      <c r="D7" s="86" t="s">
        <v>252</v>
      </c>
      <c r="E7" s="85" t="s">
        <v>7</v>
      </c>
      <c r="F7" s="65">
        <v>37</v>
      </c>
      <c r="G7" s="66">
        <v>33.38</v>
      </c>
      <c r="H7" s="67">
        <v>26.35</v>
      </c>
      <c r="I7" s="67">
        <v>59.73</v>
      </c>
      <c r="J7" s="68">
        <f>I7*F7</f>
        <v>2210.0099999999998</v>
      </c>
    </row>
    <row r="8" spans="1:10" ht="16.5" thickBot="1">
      <c r="A8" s="53"/>
      <c r="B8" s="83"/>
      <c r="C8" s="83"/>
      <c r="D8" s="240"/>
      <c r="E8" s="83"/>
      <c r="F8" s="57"/>
      <c r="G8" s="57"/>
      <c r="H8" s="57"/>
      <c r="I8" s="57"/>
      <c r="J8" s="60"/>
    </row>
    <row r="9" spans="1:10" ht="24.75" customHeight="1" thickBot="1">
      <c r="A9" s="216">
        <v>3</v>
      </c>
      <c r="B9" s="217"/>
      <c r="C9" s="556" t="s">
        <v>251</v>
      </c>
      <c r="D9" s="543"/>
      <c r="E9" s="543"/>
      <c r="F9" s="543"/>
      <c r="G9" s="543"/>
      <c r="H9" s="543"/>
      <c r="I9" s="543"/>
      <c r="J9" s="544"/>
    </row>
    <row r="10" spans="1:10" ht="47.25">
      <c r="A10" s="61"/>
      <c r="B10" s="85" t="s">
        <v>8</v>
      </c>
      <c r="C10" s="63" t="s">
        <v>467</v>
      </c>
      <c r="D10" s="416" t="s">
        <v>254</v>
      </c>
      <c r="E10" s="85" t="s">
        <v>7</v>
      </c>
      <c r="F10" s="65">
        <v>37</v>
      </c>
      <c r="G10" s="66">
        <v>5.25</v>
      </c>
      <c r="H10" s="67">
        <v>5.86</v>
      </c>
      <c r="I10" s="67">
        <v>11.11</v>
      </c>
      <c r="J10" s="68">
        <f>I10*F10</f>
        <v>411.07</v>
      </c>
    </row>
    <row r="11" spans="1:10" ht="16.5" thickBot="1">
      <c r="A11" s="53"/>
      <c r="B11" s="83"/>
      <c r="C11" s="83"/>
      <c r="D11" s="237"/>
      <c r="E11" s="83"/>
      <c r="F11" s="57"/>
      <c r="G11" s="123"/>
      <c r="H11" s="123"/>
      <c r="I11" s="57">
        <f>H11+G11</f>
        <v>0</v>
      </c>
      <c r="J11" s="60"/>
    </row>
    <row r="12" spans="1:10" ht="24.75" customHeight="1" thickBot="1">
      <c r="A12" s="216">
        <v>4</v>
      </c>
      <c r="B12" s="217"/>
      <c r="C12" s="556" t="s">
        <v>253</v>
      </c>
      <c r="D12" s="543"/>
      <c r="E12" s="543"/>
      <c r="F12" s="543"/>
      <c r="G12" s="543"/>
      <c r="H12" s="543"/>
      <c r="I12" s="543"/>
      <c r="J12" s="544"/>
    </row>
    <row r="13" spans="1:10" ht="31.5">
      <c r="A13" s="61"/>
      <c r="B13" s="85" t="s">
        <v>41</v>
      </c>
      <c r="C13" s="85" t="s">
        <v>345</v>
      </c>
      <c r="D13" s="86" t="s">
        <v>255</v>
      </c>
      <c r="E13" s="85" t="s">
        <v>9</v>
      </c>
      <c r="F13" s="65">
        <v>4</v>
      </c>
      <c r="G13" s="65">
        <v>55</v>
      </c>
      <c r="H13" s="65">
        <v>10.13</v>
      </c>
      <c r="I13" s="65">
        <f>(H13+G13)*1.77</f>
        <v>115.28009999999999</v>
      </c>
      <c r="J13" s="68">
        <f>I13*F13</f>
        <v>461.12039999999996</v>
      </c>
    </row>
    <row r="14" spans="1:10" ht="16.5" thickBot="1">
      <c r="A14" s="53"/>
      <c r="B14" s="83"/>
      <c r="C14" s="83"/>
      <c r="D14" s="417"/>
      <c r="E14" s="83"/>
      <c r="F14" s="57"/>
      <c r="G14" s="57"/>
      <c r="H14" s="57"/>
      <c r="I14" s="57">
        <f>H14+G14</f>
        <v>0</v>
      </c>
      <c r="J14" s="60">
        <f>I14*F14</f>
        <v>0</v>
      </c>
    </row>
    <row r="15" spans="1:10" ht="24.75" customHeight="1" thickBot="1">
      <c r="A15" s="216">
        <v>5</v>
      </c>
      <c r="B15" s="217"/>
      <c r="C15" s="556" t="s">
        <v>256</v>
      </c>
      <c r="D15" s="543"/>
      <c r="E15" s="543"/>
      <c r="F15" s="543"/>
      <c r="G15" s="543"/>
      <c r="H15" s="543"/>
      <c r="I15" s="543"/>
      <c r="J15" s="544"/>
    </row>
    <row r="16" spans="1:10" ht="31.5">
      <c r="A16" s="263"/>
      <c r="B16" s="85" t="s">
        <v>10</v>
      </c>
      <c r="C16" s="63" t="s">
        <v>337</v>
      </c>
      <c r="D16" s="86" t="s">
        <v>106</v>
      </c>
      <c r="E16" s="85" t="s">
        <v>9</v>
      </c>
      <c r="F16" s="65">
        <v>4</v>
      </c>
      <c r="G16" s="66">
        <v>0</v>
      </c>
      <c r="H16" s="67">
        <v>43.95</v>
      </c>
      <c r="I16" s="67">
        <v>43.95</v>
      </c>
      <c r="J16" s="68">
        <f>I16*F16</f>
        <v>175.8</v>
      </c>
    </row>
    <row r="17" spans="1:10" ht="16.5" thickBot="1">
      <c r="A17" s="43"/>
      <c r="B17" s="44"/>
      <c r="C17" s="44"/>
      <c r="D17" s="45"/>
      <c r="E17" s="44"/>
      <c r="F17" s="46"/>
      <c r="G17" s="46"/>
      <c r="H17" s="46"/>
      <c r="I17" s="46">
        <f>H17+G17</f>
        <v>0</v>
      </c>
      <c r="J17" s="47">
        <f>I17*F17</f>
        <v>0</v>
      </c>
    </row>
    <row r="18" spans="1:10" ht="19.5" customHeight="1">
      <c r="A18" s="579" t="s">
        <v>32</v>
      </c>
      <c r="B18" s="580"/>
      <c r="C18" s="580"/>
      <c r="D18" s="581"/>
      <c r="E18" s="418"/>
      <c r="F18" s="419"/>
      <c r="G18" s="419"/>
      <c r="H18" s="419"/>
      <c r="I18" s="419">
        <f>H18+G18</f>
        <v>0</v>
      </c>
      <c r="J18" s="420">
        <f>SUM(J3:J17)</f>
        <v>4354.0004</v>
      </c>
    </row>
    <row r="19" spans="1:10" ht="19.5" customHeight="1">
      <c r="A19" s="573" t="s">
        <v>520</v>
      </c>
      <c r="B19" s="574"/>
      <c r="C19" s="574"/>
      <c r="D19" s="575"/>
      <c r="E19" s="421"/>
      <c r="F19" s="320"/>
      <c r="G19" s="320"/>
      <c r="H19" s="320"/>
      <c r="I19" s="320">
        <f aca="true" t="shared" si="0" ref="I19:I39">H19+G19</f>
        <v>0</v>
      </c>
      <c r="J19" s="422">
        <f>J18*0.3</f>
        <v>1306.20012</v>
      </c>
    </row>
    <row r="20" spans="1:10" ht="19.5" customHeight="1" thickBot="1">
      <c r="A20" s="576" t="s">
        <v>45</v>
      </c>
      <c r="B20" s="577"/>
      <c r="C20" s="577"/>
      <c r="D20" s="578"/>
      <c r="E20" s="423"/>
      <c r="F20" s="424"/>
      <c r="G20" s="424"/>
      <c r="H20" s="424"/>
      <c r="I20" s="424">
        <f t="shared" si="0"/>
        <v>0</v>
      </c>
      <c r="J20" s="425">
        <f>SUM(J18:J19)</f>
        <v>5660.20052</v>
      </c>
    </row>
    <row r="21" spans="1:10" ht="15.75">
      <c r="A21" s="28"/>
      <c r="B21" s="29"/>
      <c r="C21" s="29"/>
      <c r="D21" s="297"/>
      <c r="E21" s="297"/>
      <c r="F21" s="297"/>
      <c r="G21" s="297"/>
      <c r="H21" s="297"/>
      <c r="I21" s="31">
        <f t="shared" si="0"/>
        <v>0</v>
      </c>
      <c r="J21" s="297"/>
    </row>
    <row r="22" spans="1:10" ht="15.75">
      <c r="A22" s="28"/>
      <c r="B22" s="29"/>
      <c r="C22" s="29"/>
      <c r="D22" s="297"/>
      <c r="E22" s="297"/>
      <c r="F22" s="297"/>
      <c r="G22" s="297"/>
      <c r="H22" s="297"/>
      <c r="I22" s="31">
        <f t="shared" si="0"/>
        <v>0</v>
      </c>
      <c r="J22" s="297"/>
    </row>
    <row r="23" spans="1:10" ht="15.75">
      <c r="A23" s="28"/>
      <c r="B23" s="29"/>
      <c r="C23" s="29"/>
      <c r="E23" s="297"/>
      <c r="F23" s="297"/>
      <c r="G23" s="297"/>
      <c r="H23" s="297"/>
      <c r="I23" s="31">
        <f t="shared" si="0"/>
        <v>0</v>
      </c>
      <c r="J23" s="297"/>
    </row>
    <row r="24" spans="1:10" ht="15.75">
      <c r="A24" s="301"/>
      <c r="B24" s="297"/>
      <c r="C24" s="297"/>
      <c r="E24" s="297"/>
      <c r="F24" s="297"/>
      <c r="G24" s="297"/>
      <c r="H24" s="297"/>
      <c r="I24" s="31">
        <f t="shared" si="0"/>
        <v>0</v>
      </c>
      <c r="J24" s="297"/>
    </row>
    <row r="25" spans="1:10" ht="15.75">
      <c r="A25" s="301"/>
      <c r="B25" s="297"/>
      <c r="C25" s="297"/>
      <c r="E25" s="297"/>
      <c r="F25" s="297"/>
      <c r="G25" s="297"/>
      <c r="H25" s="297"/>
      <c r="I25" s="31">
        <f t="shared" si="0"/>
        <v>0</v>
      </c>
      <c r="J25" s="297"/>
    </row>
    <row r="26" spans="1:10" ht="15.75">
      <c r="A26" s="301"/>
      <c r="B26" s="297"/>
      <c r="C26" s="297"/>
      <c r="E26" s="297"/>
      <c r="F26" s="297"/>
      <c r="G26" s="297"/>
      <c r="H26" s="297"/>
      <c r="I26" s="31">
        <f t="shared" si="0"/>
        <v>0</v>
      </c>
      <c r="J26" s="297"/>
    </row>
    <row r="27" ht="15.75">
      <c r="I27" s="31">
        <f t="shared" si="0"/>
        <v>0</v>
      </c>
    </row>
    <row r="28" ht="15.75">
      <c r="I28" s="31">
        <f t="shared" si="0"/>
        <v>0</v>
      </c>
    </row>
    <row r="29" ht="15.75">
      <c r="I29" s="31">
        <f t="shared" si="0"/>
        <v>0</v>
      </c>
    </row>
    <row r="30" ht="15.75">
      <c r="I30" s="31">
        <f t="shared" si="0"/>
        <v>0</v>
      </c>
    </row>
    <row r="31" ht="15.75">
      <c r="I31" s="31">
        <f t="shared" si="0"/>
        <v>0</v>
      </c>
    </row>
    <row r="32" ht="15.75">
      <c r="I32" s="31">
        <f t="shared" si="0"/>
        <v>0</v>
      </c>
    </row>
    <row r="33" ht="15.75">
      <c r="I33" s="31">
        <f t="shared" si="0"/>
        <v>0</v>
      </c>
    </row>
    <row r="34" ht="15.75">
      <c r="I34" s="31">
        <f t="shared" si="0"/>
        <v>0</v>
      </c>
    </row>
    <row r="35" ht="15.75">
      <c r="I35" s="31">
        <f t="shared" si="0"/>
        <v>0</v>
      </c>
    </row>
    <row r="36" ht="15.75">
      <c r="I36" s="31">
        <f t="shared" si="0"/>
        <v>0</v>
      </c>
    </row>
    <row r="37" ht="15.75">
      <c r="I37" s="31">
        <f t="shared" si="0"/>
        <v>0</v>
      </c>
    </row>
    <row r="38" ht="15.75">
      <c r="I38" s="31">
        <f t="shared" si="0"/>
        <v>0</v>
      </c>
    </row>
    <row r="39" ht="15.75">
      <c r="I39" s="31">
        <f t="shared" si="0"/>
        <v>0</v>
      </c>
    </row>
  </sheetData>
  <sheetProtection/>
  <mergeCells count="9">
    <mergeCell ref="A2:J2"/>
    <mergeCell ref="A19:D19"/>
    <mergeCell ref="A20:D20"/>
    <mergeCell ref="C3:J3"/>
    <mergeCell ref="C9:J9"/>
    <mergeCell ref="C6:J6"/>
    <mergeCell ref="C12:J12"/>
    <mergeCell ref="C15:J15"/>
    <mergeCell ref="A18:D18"/>
  </mergeCells>
  <printOptions gridLines="1" horizontalCentered="1"/>
  <pageMargins left="0.4330708661417323" right="0.4330708661417323" top="1.4566929133858268" bottom="0.9055118110236221" header="0.7874015748031497" footer="0.5905511811023623"/>
  <pageSetup fitToHeight="0" horizontalDpi="300" verticalDpi="300" orientation="portrait" paperSize="9" scale="57" r:id="rId1"/>
  <headerFooter alignWithMargins="0">
    <oddHeader>&amp;L&amp;11Fundação Florestal
Diretoria Adiministrativa e Financeira
Setor de Engenharia e Infraestrutura 
&amp;C&amp;11PARQUE ESTADUAL CAVERNA DO DIABO
Portal com Guarita Central&amp;RPlanilha  Orçamentária
data base=Julho/2017
</oddHeader>
    <oddFooter>&amp;RPágina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alferreira</cp:lastModifiedBy>
  <cp:lastPrinted>2018-04-05T18:23:12Z</cp:lastPrinted>
  <dcterms:created xsi:type="dcterms:W3CDTF">1998-09-28T13:48:05Z</dcterms:created>
  <dcterms:modified xsi:type="dcterms:W3CDTF">2018-04-05T18:45:17Z</dcterms:modified>
  <cp:category/>
  <cp:version/>
  <cp:contentType/>
  <cp:contentStatus/>
</cp:coreProperties>
</file>